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ReadMe" sheetId="82" r:id="rId1"/>
    <sheet name="FS14.1a" sheetId="45" r:id="rId2"/>
    <sheet name="FS14.1b" sheetId="83" r:id="rId3"/>
    <sheet name="FS14.1c" sheetId="84" r:id="rId4"/>
    <sheet name="FS14.2a" sheetId="42" r:id="rId5"/>
    <sheet name="FS14.2b" sheetId="85" r:id="rId6"/>
    <sheet name="FS14.2c" sheetId="86" r:id="rId7"/>
    <sheet name="FS14.9a" sheetId="28" r:id="rId8"/>
    <sheet name="FS14.9b" sheetId="29" r:id="rId9"/>
    <sheet name="FS14.10" sheetId="31" r:id="rId10"/>
    <sheet name="FS14.11a" sheetId="76" r:id="rId11"/>
    <sheet name="FS14.11b" sheetId="77" r:id="rId12"/>
    <sheet name="FS14.11c" sheetId="70" r:id="rId13"/>
    <sheet name="FS14.11d" sheetId="87" r:id="rId14"/>
    <sheet name="FS14.11e" sheetId="68" r:id="rId15"/>
    <sheet name="FS14.15a" sheetId="52" r:id="rId16"/>
    <sheet name="FS14.15b" sheetId="53" r:id="rId17"/>
    <sheet name="FS14.17a" sheetId="57" r:id="rId18"/>
    <sheet name="FS14.17b" sheetId="58" r:id="rId19"/>
    <sheet name="FS14.18" sheetId="60" r:id="rId20"/>
    <sheet name="FS14.19a" sheetId="61" r:id="rId21"/>
    <sheet name="FS14.19b" sheetId="63" r:id="rId22"/>
    <sheet name="FS14.19c" sheetId="78" r:id="rId23"/>
    <sheet name="FS14.19d" sheetId="62" r:id="rId24"/>
    <sheet name="FS14.20" sheetId="80" r:id="rId25"/>
    <sheet name="DataG14.1" sheetId="8" r:id="rId26"/>
    <sheet name="DataG14.2" sheetId="6" r:id="rId27"/>
    <sheet name="DataG14.3" sheetId="9" r:id="rId28"/>
    <sheet name="DataG14.7" sheetId="17" r:id="rId29"/>
    <sheet name="DataG14.9" sheetId="25" r:id="rId30"/>
    <sheet name="DataG14.10" sheetId="35" r:id="rId31"/>
    <sheet name="DataG14.11" sheetId="36" r:id="rId32"/>
    <sheet name="DataGS14.11e" sheetId="69" r:id="rId33"/>
    <sheet name="DataG14.12" sheetId="72" r:id="rId34"/>
    <sheet name="DataG14.13" sheetId="73" r:id="rId35"/>
    <sheet name="DataG14.14" sheetId="66" r:id="rId36"/>
    <sheet name="DataG14.15" sheetId="75" r:id="rId37"/>
    <sheet name="DataGS14.20" sheetId="81" r:id="rId38"/>
  </sheets>
  <externalReferences>
    <externalReference r:id="rId39"/>
    <externalReference r:id="rId40"/>
    <externalReference r:id="rId41"/>
    <externalReference r:id="rId42"/>
    <externalReference r:id="rId43"/>
    <externalReference r:id="rId44"/>
    <externalReference r:id="rId45"/>
  </externalReferences>
  <definedNames>
    <definedName name="_10000" localSheetId="25">[1]Регион!#REF!</definedName>
    <definedName name="_10000" localSheetId="30">[1]Регион!#REF!</definedName>
    <definedName name="_10000" localSheetId="31">[1]Регион!#REF!</definedName>
    <definedName name="_10000" localSheetId="33">[1]Регион!#REF!</definedName>
    <definedName name="_10000" localSheetId="34">[1]Регион!#REF!</definedName>
    <definedName name="_10000" localSheetId="35">[1]Регион!#REF!</definedName>
    <definedName name="_10000" localSheetId="36">[1]Регион!#REF!</definedName>
    <definedName name="_10000" localSheetId="26">[1]Регион!#REF!</definedName>
    <definedName name="_10000" localSheetId="27">[1]Регион!#REF!</definedName>
    <definedName name="_10000" localSheetId="0">[1]Регион!#REF!</definedName>
    <definedName name="_10000">[1]Регион!#REF!</definedName>
    <definedName name="_1080" localSheetId="25">[2]Регион!#REF!</definedName>
    <definedName name="_1080" localSheetId="30">[2]Регион!#REF!</definedName>
    <definedName name="_1080" localSheetId="31">[2]Регион!#REF!</definedName>
    <definedName name="_1080" localSheetId="33">[2]Регион!#REF!</definedName>
    <definedName name="_1080" localSheetId="34">[2]Регион!#REF!</definedName>
    <definedName name="_1080" localSheetId="35">[2]Регион!#REF!</definedName>
    <definedName name="_1080" localSheetId="36">[2]Регион!#REF!</definedName>
    <definedName name="_1080" localSheetId="26">[2]Регион!#REF!</definedName>
    <definedName name="_1080" localSheetId="27">[2]Регион!#REF!</definedName>
    <definedName name="_1080" localSheetId="0">[2]Регион!#REF!</definedName>
    <definedName name="_1080">[2]Регион!#REF!</definedName>
    <definedName name="_1090" localSheetId="25">[2]Регион!#REF!</definedName>
    <definedName name="_1090" localSheetId="30">[2]Регион!#REF!</definedName>
    <definedName name="_1090" localSheetId="31">[2]Регион!#REF!</definedName>
    <definedName name="_1090" localSheetId="33">[2]Регион!#REF!</definedName>
    <definedName name="_1090" localSheetId="34">[2]Регион!#REF!</definedName>
    <definedName name="_1090" localSheetId="35">[2]Регион!#REF!</definedName>
    <definedName name="_1090" localSheetId="36">[2]Регион!#REF!</definedName>
    <definedName name="_1090" localSheetId="26">[2]Регион!#REF!</definedName>
    <definedName name="_1090" localSheetId="27">[2]Регион!#REF!</definedName>
    <definedName name="_1090" localSheetId="0">[2]Регион!#REF!</definedName>
    <definedName name="_1090">[2]Регион!#REF!</definedName>
    <definedName name="_1100" localSheetId="25">[2]Регион!#REF!</definedName>
    <definedName name="_1100" localSheetId="30">[2]Регион!#REF!</definedName>
    <definedName name="_1100" localSheetId="31">[2]Регион!#REF!</definedName>
    <definedName name="_1100" localSheetId="33">[2]Регион!#REF!</definedName>
    <definedName name="_1100" localSheetId="34">[2]Регион!#REF!</definedName>
    <definedName name="_1100" localSheetId="35">[2]Регион!#REF!</definedName>
    <definedName name="_1100" localSheetId="36">[2]Регион!#REF!</definedName>
    <definedName name="_1100" localSheetId="26">[2]Регион!#REF!</definedName>
    <definedName name="_1100" localSheetId="27">[2]Регион!#REF!</definedName>
    <definedName name="_1100" localSheetId="0">[2]Регион!#REF!</definedName>
    <definedName name="_1100">[2]Регион!#REF!</definedName>
    <definedName name="_1110" localSheetId="25">[2]Регион!#REF!</definedName>
    <definedName name="_1110" localSheetId="30">[2]Регион!#REF!</definedName>
    <definedName name="_1110" localSheetId="31">[2]Регион!#REF!</definedName>
    <definedName name="_1110" localSheetId="33">[2]Регион!#REF!</definedName>
    <definedName name="_1110" localSheetId="34">[2]Регион!#REF!</definedName>
    <definedName name="_1110" localSheetId="35">[2]Регион!#REF!</definedName>
    <definedName name="_1110" localSheetId="36">[2]Регион!#REF!</definedName>
    <definedName name="_1110" localSheetId="26">[2]Регион!#REF!</definedName>
    <definedName name="_1110" localSheetId="27">[2]Регион!#REF!</definedName>
    <definedName name="_1110" localSheetId="0">[2]Регион!#REF!</definedName>
    <definedName name="_1110">[2]Регион!#REF!</definedName>
    <definedName name="_2" localSheetId="25">[1]Регион!#REF!</definedName>
    <definedName name="_2" localSheetId="30">[1]Регион!#REF!</definedName>
    <definedName name="_2" localSheetId="31">[1]Регион!#REF!</definedName>
    <definedName name="_2" localSheetId="33">[1]Регион!#REF!</definedName>
    <definedName name="_2" localSheetId="34">[1]Регион!#REF!</definedName>
    <definedName name="_2" localSheetId="35">[1]Регион!#REF!</definedName>
    <definedName name="_2" localSheetId="36">[1]Регион!#REF!</definedName>
    <definedName name="_2" localSheetId="26">[1]Регион!#REF!</definedName>
    <definedName name="_2" localSheetId="27">[1]Регион!#REF!</definedName>
    <definedName name="_2" localSheetId="0">[1]Регион!#REF!</definedName>
    <definedName name="_2">[1]Регион!#REF!</definedName>
    <definedName name="_2010" localSheetId="25">#REF!</definedName>
    <definedName name="_2010" localSheetId="30">#REF!</definedName>
    <definedName name="_2010" localSheetId="31">#REF!</definedName>
    <definedName name="_2010" localSheetId="33">#REF!</definedName>
    <definedName name="_2010" localSheetId="34">#REF!</definedName>
    <definedName name="_2010" localSheetId="35">#REF!</definedName>
    <definedName name="_2010" localSheetId="36">#REF!</definedName>
    <definedName name="_2010" localSheetId="26">#REF!</definedName>
    <definedName name="_2010" localSheetId="27">#REF!</definedName>
    <definedName name="_2010" localSheetId="0">#REF!</definedName>
    <definedName name="_2010">#REF!</definedName>
    <definedName name="_2080" localSheetId="25">[2]Регион!#REF!</definedName>
    <definedName name="_2080" localSheetId="30">[2]Регион!#REF!</definedName>
    <definedName name="_2080" localSheetId="31">[2]Регион!#REF!</definedName>
    <definedName name="_2080" localSheetId="33">[2]Регион!#REF!</definedName>
    <definedName name="_2080" localSheetId="34">[2]Регион!#REF!</definedName>
    <definedName name="_2080" localSheetId="35">[2]Регион!#REF!</definedName>
    <definedName name="_2080" localSheetId="36">[2]Регион!#REF!</definedName>
    <definedName name="_2080" localSheetId="26">[2]Регион!#REF!</definedName>
    <definedName name="_2080" localSheetId="27">[2]Регион!#REF!</definedName>
    <definedName name="_2080" localSheetId="0">[2]Регион!#REF!</definedName>
    <definedName name="_2080">[2]Регион!#REF!</definedName>
    <definedName name="_2090" localSheetId="25">[2]Регион!#REF!</definedName>
    <definedName name="_2090" localSheetId="30">[2]Регион!#REF!</definedName>
    <definedName name="_2090" localSheetId="31">[2]Регион!#REF!</definedName>
    <definedName name="_2090" localSheetId="33">[2]Регион!#REF!</definedName>
    <definedName name="_2090" localSheetId="34">[2]Регион!#REF!</definedName>
    <definedName name="_2090" localSheetId="35">[2]Регион!#REF!</definedName>
    <definedName name="_2090" localSheetId="36">[2]Регион!#REF!</definedName>
    <definedName name="_2090" localSheetId="26">[2]Регион!#REF!</definedName>
    <definedName name="_2090" localSheetId="27">[2]Регион!#REF!</definedName>
    <definedName name="_2090" localSheetId="0">[2]Регион!#REF!</definedName>
    <definedName name="_2090">[2]Регион!#REF!</definedName>
    <definedName name="_2100" localSheetId="25">[2]Регион!#REF!</definedName>
    <definedName name="_2100" localSheetId="30">[2]Регион!#REF!</definedName>
    <definedName name="_2100" localSheetId="31">[2]Регион!#REF!</definedName>
    <definedName name="_2100" localSheetId="33">[2]Регион!#REF!</definedName>
    <definedName name="_2100" localSheetId="34">[2]Регион!#REF!</definedName>
    <definedName name="_2100" localSheetId="35">[2]Регион!#REF!</definedName>
    <definedName name="_2100" localSheetId="36">[2]Регион!#REF!</definedName>
    <definedName name="_2100" localSheetId="26">[2]Регион!#REF!</definedName>
    <definedName name="_2100" localSheetId="27">[2]Регион!#REF!</definedName>
    <definedName name="_2100" localSheetId="0">[2]Регион!#REF!</definedName>
    <definedName name="_2100">[2]Регион!#REF!</definedName>
    <definedName name="_2110" localSheetId="25">[2]Регион!#REF!</definedName>
    <definedName name="_2110" localSheetId="30">[2]Регион!#REF!</definedName>
    <definedName name="_2110" localSheetId="31">[2]Регион!#REF!</definedName>
    <definedName name="_2110" localSheetId="33">[2]Регион!#REF!</definedName>
    <definedName name="_2110" localSheetId="34">[2]Регион!#REF!</definedName>
    <definedName name="_2110" localSheetId="35">[2]Регион!#REF!</definedName>
    <definedName name="_2110" localSheetId="36">[2]Регион!#REF!</definedName>
    <definedName name="_2110" localSheetId="26">[2]Регион!#REF!</definedName>
    <definedName name="_2110" localSheetId="27">[2]Регион!#REF!</definedName>
    <definedName name="_2110" localSheetId="0">[2]Регион!#REF!</definedName>
    <definedName name="_2110">[2]Регион!#REF!</definedName>
    <definedName name="_3080" localSheetId="25">[2]Регион!#REF!</definedName>
    <definedName name="_3080" localSheetId="30">[2]Регион!#REF!</definedName>
    <definedName name="_3080" localSheetId="31">[2]Регион!#REF!</definedName>
    <definedName name="_3080" localSheetId="33">[2]Регион!#REF!</definedName>
    <definedName name="_3080" localSheetId="34">[2]Регион!#REF!</definedName>
    <definedName name="_3080" localSheetId="35">[2]Регион!#REF!</definedName>
    <definedName name="_3080" localSheetId="36">[2]Регион!#REF!</definedName>
    <definedName name="_3080" localSheetId="26">[2]Регион!#REF!</definedName>
    <definedName name="_3080" localSheetId="27">[2]Регион!#REF!</definedName>
    <definedName name="_3080" localSheetId="0">[2]Регион!#REF!</definedName>
    <definedName name="_3080">[2]Регион!#REF!</definedName>
    <definedName name="_3090" localSheetId="25">[2]Регион!#REF!</definedName>
    <definedName name="_3090" localSheetId="30">[2]Регион!#REF!</definedName>
    <definedName name="_3090" localSheetId="31">[2]Регион!#REF!</definedName>
    <definedName name="_3090" localSheetId="33">[2]Регион!#REF!</definedName>
    <definedName name="_3090" localSheetId="34">[2]Регион!#REF!</definedName>
    <definedName name="_3090" localSheetId="35">[2]Регион!#REF!</definedName>
    <definedName name="_3090" localSheetId="36">[2]Регион!#REF!</definedName>
    <definedName name="_3090" localSheetId="26">[2]Регион!#REF!</definedName>
    <definedName name="_3090" localSheetId="27">[2]Регион!#REF!</definedName>
    <definedName name="_3090" localSheetId="0">[2]Регион!#REF!</definedName>
    <definedName name="_3090">[2]Регион!#REF!</definedName>
    <definedName name="_3100" localSheetId="25">[2]Регион!#REF!</definedName>
    <definedName name="_3100" localSheetId="30">[2]Регион!#REF!</definedName>
    <definedName name="_3100" localSheetId="31">[2]Регион!#REF!</definedName>
    <definedName name="_3100" localSheetId="33">[2]Регион!#REF!</definedName>
    <definedName name="_3100" localSheetId="34">[2]Регион!#REF!</definedName>
    <definedName name="_3100" localSheetId="35">[2]Регион!#REF!</definedName>
    <definedName name="_3100" localSheetId="36">[2]Регион!#REF!</definedName>
    <definedName name="_3100" localSheetId="26">[2]Регион!#REF!</definedName>
    <definedName name="_3100" localSheetId="27">[2]Регион!#REF!</definedName>
    <definedName name="_3100" localSheetId="0">[2]Регион!#REF!</definedName>
    <definedName name="_3100">[2]Регион!#REF!</definedName>
    <definedName name="_3110" localSheetId="25">[2]Регион!#REF!</definedName>
    <definedName name="_3110" localSheetId="30">[2]Регион!#REF!</definedName>
    <definedName name="_3110" localSheetId="31">[2]Регион!#REF!</definedName>
    <definedName name="_3110" localSheetId="33">[2]Регион!#REF!</definedName>
    <definedName name="_3110" localSheetId="34">[2]Регион!#REF!</definedName>
    <definedName name="_3110" localSheetId="35">[2]Регион!#REF!</definedName>
    <definedName name="_3110" localSheetId="36">[2]Регион!#REF!</definedName>
    <definedName name="_3110" localSheetId="26">[2]Регион!#REF!</definedName>
    <definedName name="_3110" localSheetId="27">[2]Регион!#REF!</definedName>
    <definedName name="_3110" localSheetId="0">[2]Регион!#REF!</definedName>
    <definedName name="_3110">[2]Регион!#REF!</definedName>
    <definedName name="_4080" localSheetId="25">[2]Регион!#REF!</definedName>
    <definedName name="_4080" localSheetId="30">[2]Регион!#REF!</definedName>
    <definedName name="_4080" localSheetId="31">[2]Регион!#REF!</definedName>
    <definedName name="_4080" localSheetId="33">[2]Регион!#REF!</definedName>
    <definedName name="_4080" localSheetId="34">[2]Регион!#REF!</definedName>
    <definedName name="_4080" localSheetId="35">[2]Регион!#REF!</definedName>
    <definedName name="_4080" localSheetId="36">[2]Регион!#REF!</definedName>
    <definedName name="_4080" localSheetId="26">[2]Регион!#REF!</definedName>
    <definedName name="_4080" localSheetId="27">[2]Регион!#REF!</definedName>
    <definedName name="_4080" localSheetId="0">[2]Регион!#REF!</definedName>
    <definedName name="_4080">[2]Регион!#REF!</definedName>
    <definedName name="_4090" localSheetId="25">[2]Регион!#REF!</definedName>
    <definedName name="_4090" localSheetId="30">[2]Регион!#REF!</definedName>
    <definedName name="_4090" localSheetId="31">[2]Регион!#REF!</definedName>
    <definedName name="_4090" localSheetId="33">[2]Регион!#REF!</definedName>
    <definedName name="_4090" localSheetId="34">[2]Регион!#REF!</definedName>
    <definedName name="_4090" localSheetId="35">[2]Регион!#REF!</definedName>
    <definedName name="_4090" localSheetId="36">[2]Регион!#REF!</definedName>
    <definedName name="_4090" localSheetId="26">[2]Регион!#REF!</definedName>
    <definedName name="_4090" localSheetId="27">[2]Регион!#REF!</definedName>
    <definedName name="_4090" localSheetId="0">[2]Регион!#REF!</definedName>
    <definedName name="_4090">[2]Регион!#REF!</definedName>
    <definedName name="_4100" localSheetId="25">[2]Регион!#REF!</definedName>
    <definedName name="_4100" localSheetId="30">[2]Регион!#REF!</definedName>
    <definedName name="_4100" localSheetId="31">[2]Регион!#REF!</definedName>
    <definedName name="_4100" localSheetId="33">[2]Регион!#REF!</definedName>
    <definedName name="_4100" localSheetId="34">[2]Регион!#REF!</definedName>
    <definedName name="_4100" localSheetId="35">[2]Регион!#REF!</definedName>
    <definedName name="_4100" localSheetId="36">[2]Регион!#REF!</definedName>
    <definedName name="_4100" localSheetId="26">[2]Регион!#REF!</definedName>
    <definedName name="_4100" localSheetId="27">[2]Регион!#REF!</definedName>
    <definedName name="_4100" localSheetId="0">[2]Регион!#REF!</definedName>
    <definedName name="_4100">[2]Регион!#REF!</definedName>
    <definedName name="_4110" localSheetId="25">[2]Регион!#REF!</definedName>
    <definedName name="_4110" localSheetId="30">[2]Регион!#REF!</definedName>
    <definedName name="_4110" localSheetId="31">[2]Регион!#REF!</definedName>
    <definedName name="_4110" localSheetId="33">[2]Регион!#REF!</definedName>
    <definedName name="_4110" localSheetId="34">[2]Регион!#REF!</definedName>
    <definedName name="_4110" localSheetId="35">[2]Регион!#REF!</definedName>
    <definedName name="_4110" localSheetId="36">[2]Регион!#REF!</definedName>
    <definedName name="_4110" localSheetId="26">[2]Регион!#REF!</definedName>
    <definedName name="_4110" localSheetId="27">[2]Регион!#REF!</definedName>
    <definedName name="_4110" localSheetId="0">[2]Регион!#REF!</definedName>
    <definedName name="_4110">[2]Регион!#REF!</definedName>
    <definedName name="_5080" localSheetId="25">[2]Регион!#REF!</definedName>
    <definedName name="_5080" localSheetId="30">[2]Регион!#REF!</definedName>
    <definedName name="_5080" localSheetId="31">[2]Регион!#REF!</definedName>
    <definedName name="_5080" localSheetId="33">[2]Регион!#REF!</definedName>
    <definedName name="_5080" localSheetId="34">[2]Регион!#REF!</definedName>
    <definedName name="_5080" localSheetId="35">[2]Регион!#REF!</definedName>
    <definedName name="_5080" localSheetId="36">[2]Регион!#REF!</definedName>
    <definedName name="_5080" localSheetId="26">[2]Регион!#REF!</definedName>
    <definedName name="_5080" localSheetId="27">[2]Регион!#REF!</definedName>
    <definedName name="_5080" localSheetId="0">[2]Регион!#REF!</definedName>
    <definedName name="_5080">[2]Регион!#REF!</definedName>
    <definedName name="_5090" localSheetId="25">[2]Регион!#REF!</definedName>
    <definedName name="_5090" localSheetId="30">[2]Регион!#REF!</definedName>
    <definedName name="_5090" localSheetId="31">[2]Регион!#REF!</definedName>
    <definedName name="_5090" localSheetId="33">[2]Регион!#REF!</definedName>
    <definedName name="_5090" localSheetId="34">[2]Регион!#REF!</definedName>
    <definedName name="_5090" localSheetId="35">[2]Регион!#REF!</definedName>
    <definedName name="_5090" localSheetId="36">[2]Регион!#REF!</definedName>
    <definedName name="_5090" localSheetId="26">[2]Регион!#REF!</definedName>
    <definedName name="_5090" localSheetId="27">[2]Регион!#REF!</definedName>
    <definedName name="_5090" localSheetId="0">[2]Регион!#REF!</definedName>
    <definedName name="_5090">[2]Регион!#REF!</definedName>
    <definedName name="_5100" localSheetId="25">[2]Регион!#REF!</definedName>
    <definedName name="_5100" localSheetId="30">[2]Регион!#REF!</definedName>
    <definedName name="_5100" localSheetId="31">[2]Регион!#REF!</definedName>
    <definedName name="_5100" localSheetId="33">[2]Регион!#REF!</definedName>
    <definedName name="_5100" localSheetId="34">[2]Регион!#REF!</definedName>
    <definedName name="_5100" localSheetId="35">[2]Регион!#REF!</definedName>
    <definedName name="_5100" localSheetId="36">[2]Регион!#REF!</definedName>
    <definedName name="_5100" localSheetId="26">[2]Регион!#REF!</definedName>
    <definedName name="_5100" localSheetId="27">[2]Регион!#REF!</definedName>
    <definedName name="_5100" localSheetId="0">[2]Регион!#REF!</definedName>
    <definedName name="_5100">[2]Регион!#REF!</definedName>
    <definedName name="_5110" localSheetId="25">[2]Регион!#REF!</definedName>
    <definedName name="_5110" localSheetId="30">[2]Регион!#REF!</definedName>
    <definedName name="_5110" localSheetId="31">[2]Регион!#REF!</definedName>
    <definedName name="_5110" localSheetId="33">[2]Регион!#REF!</definedName>
    <definedName name="_5110" localSheetId="34">[2]Регион!#REF!</definedName>
    <definedName name="_5110" localSheetId="35">[2]Регион!#REF!</definedName>
    <definedName name="_5110" localSheetId="36">[2]Регион!#REF!</definedName>
    <definedName name="_5110" localSheetId="26">[2]Регион!#REF!</definedName>
    <definedName name="_5110" localSheetId="27">[2]Регион!#REF!</definedName>
    <definedName name="_5110" localSheetId="0">[2]Регион!#REF!</definedName>
    <definedName name="_5110">[2]Регион!#REF!</definedName>
    <definedName name="_6080" localSheetId="25">[2]Регион!#REF!</definedName>
    <definedName name="_6080" localSheetId="30">[2]Регион!#REF!</definedName>
    <definedName name="_6080" localSheetId="31">[2]Регион!#REF!</definedName>
    <definedName name="_6080" localSheetId="33">[2]Регион!#REF!</definedName>
    <definedName name="_6080" localSheetId="34">[2]Регион!#REF!</definedName>
    <definedName name="_6080" localSheetId="35">[2]Регион!#REF!</definedName>
    <definedName name="_6080" localSheetId="36">[2]Регион!#REF!</definedName>
    <definedName name="_6080" localSheetId="26">[2]Регион!#REF!</definedName>
    <definedName name="_6080" localSheetId="27">[2]Регион!#REF!</definedName>
    <definedName name="_6080" localSheetId="0">[2]Регион!#REF!</definedName>
    <definedName name="_6080">[2]Регион!#REF!</definedName>
    <definedName name="_6090" localSheetId="25">[2]Регион!#REF!</definedName>
    <definedName name="_6090" localSheetId="30">[2]Регион!#REF!</definedName>
    <definedName name="_6090" localSheetId="31">[2]Регион!#REF!</definedName>
    <definedName name="_6090" localSheetId="33">[2]Регион!#REF!</definedName>
    <definedName name="_6090" localSheetId="34">[2]Регион!#REF!</definedName>
    <definedName name="_6090" localSheetId="35">[2]Регион!#REF!</definedName>
    <definedName name="_6090" localSheetId="36">[2]Регион!#REF!</definedName>
    <definedName name="_6090" localSheetId="26">[2]Регион!#REF!</definedName>
    <definedName name="_6090" localSheetId="27">[2]Регион!#REF!</definedName>
    <definedName name="_6090" localSheetId="0">[2]Регион!#REF!</definedName>
    <definedName name="_6090">[2]Регион!#REF!</definedName>
    <definedName name="_6100" localSheetId="25">[2]Регион!#REF!</definedName>
    <definedName name="_6100" localSheetId="30">[2]Регион!#REF!</definedName>
    <definedName name="_6100" localSheetId="31">[2]Регион!#REF!</definedName>
    <definedName name="_6100" localSheetId="33">[2]Регион!#REF!</definedName>
    <definedName name="_6100" localSheetId="34">[2]Регион!#REF!</definedName>
    <definedName name="_6100" localSheetId="35">[2]Регион!#REF!</definedName>
    <definedName name="_6100" localSheetId="36">[2]Регион!#REF!</definedName>
    <definedName name="_6100" localSheetId="26">[2]Регион!#REF!</definedName>
    <definedName name="_6100" localSheetId="27">[2]Регион!#REF!</definedName>
    <definedName name="_6100" localSheetId="0">[2]Регион!#REF!</definedName>
    <definedName name="_6100">[2]Регион!#REF!</definedName>
    <definedName name="_6110" localSheetId="25">[2]Регион!#REF!</definedName>
    <definedName name="_6110" localSheetId="30">[2]Регион!#REF!</definedName>
    <definedName name="_6110" localSheetId="31">[2]Регион!#REF!</definedName>
    <definedName name="_6110" localSheetId="33">[2]Регион!#REF!</definedName>
    <definedName name="_6110" localSheetId="34">[2]Регион!#REF!</definedName>
    <definedName name="_6110" localSheetId="35">[2]Регион!#REF!</definedName>
    <definedName name="_6110" localSheetId="36">[2]Регион!#REF!</definedName>
    <definedName name="_6110" localSheetId="26">[2]Регион!#REF!</definedName>
    <definedName name="_6110" localSheetId="27">[2]Регион!#REF!</definedName>
    <definedName name="_6110" localSheetId="0">[2]Регион!#REF!</definedName>
    <definedName name="_6110">[2]Регион!#REF!</definedName>
    <definedName name="_7031_1" localSheetId="25">[2]Регион!#REF!</definedName>
    <definedName name="_7031_1" localSheetId="30">[2]Регион!#REF!</definedName>
    <definedName name="_7031_1" localSheetId="31">[2]Регион!#REF!</definedName>
    <definedName name="_7031_1" localSheetId="33">[2]Регион!#REF!</definedName>
    <definedName name="_7031_1" localSheetId="34">[2]Регион!#REF!</definedName>
    <definedName name="_7031_1" localSheetId="35">[2]Регион!#REF!</definedName>
    <definedName name="_7031_1" localSheetId="36">[2]Регион!#REF!</definedName>
    <definedName name="_7031_1" localSheetId="26">[2]Регион!#REF!</definedName>
    <definedName name="_7031_1" localSheetId="27">[2]Регион!#REF!</definedName>
    <definedName name="_7031_1" localSheetId="0">[2]Регион!#REF!</definedName>
    <definedName name="_7031_1">[2]Регион!#REF!</definedName>
    <definedName name="_7031_2" localSheetId="25">[2]Регион!#REF!</definedName>
    <definedName name="_7031_2" localSheetId="30">[2]Регион!#REF!</definedName>
    <definedName name="_7031_2" localSheetId="31">[2]Регион!#REF!</definedName>
    <definedName name="_7031_2" localSheetId="33">[2]Регион!#REF!</definedName>
    <definedName name="_7031_2" localSheetId="34">[2]Регион!#REF!</definedName>
    <definedName name="_7031_2" localSheetId="35">[2]Регион!#REF!</definedName>
    <definedName name="_7031_2" localSheetId="36">[2]Регион!#REF!</definedName>
    <definedName name="_7031_2" localSheetId="26">[2]Регион!#REF!</definedName>
    <definedName name="_7031_2" localSheetId="27">[2]Регион!#REF!</definedName>
    <definedName name="_7031_2" localSheetId="0">[2]Регион!#REF!</definedName>
    <definedName name="_7031_2">[2]Регион!#REF!</definedName>
    <definedName name="_7032_1" localSheetId="25">[2]Регион!#REF!</definedName>
    <definedName name="_7032_1" localSheetId="30">[2]Регион!#REF!</definedName>
    <definedName name="_7032_1" localSheetId="31">[2]Регион!#REF!</definedName>
    <definedName name="_7032_1" localSheetId="33">[2]Регион!#REF!</definedName>
    <definedName name="_7032_1" localSheetId="34">[2]Регион!#REF!</definedName>
    <definedName name="_7032_1" localSheetId="35">[2]Регион!#REF!</definedName>
    <definedName name="_7032_1" localSheetId="36">[2]Регион!#REF!</definedName>
    <definedName name="_7032_1" localSheetId="26">[2]Регион!#REF!</definedName>
    <definedName name="_7032_1" localSheetId="27">[2]Регион!#REF!</definedName>
    <definedName name="_7032_1" localSheetId="0">[2]Регион!#REF!</definedName>
    <definedName name="_7032_1">[2]Регион!#REF!</definedName>
    <definedName name="_7032_2" localSheetId="25">[2]Регион!#REF!</definedName>
    <definedName name="_7032_2" localSheetId="30">[2]Регион!#REF!</definedName>
    <definedName name="_7032_2" localSheetId="31">[2]Регион!#REF!</definedName>
    <definedName name="_7032_2" localSheetId="33">[2]Регион!#REF!</definedName>
    <definedName name="_7032_2" localSheetId="34">[2]Регион!#REF!</definedName>
    <definedName name="_7032_2" localSheetId="35">[2]Регион!#REF!</definedName>
    <definedName name="_7032_2" localSheetId="36">[2]Регион!#REF!</definedName>
    <definedName name="_7032_2" localSheetId="26">[2]Регион!#REF!</definedName>
    <definedName name="_7032_2" localSheetId="27">[2]Регион!#REF!</definedName>
    <definedName name="_7032_2" localSheetId="0">[2]Регион!#REF!</definedName>
    <definedName name="_7032_2">[2]Регион!#REF!</definedName>
    <definedName name="_7033_1" localSheetId="25">[2]Регион!#REF!</definedName>
    <definedName name="_7033_1" localSheetId="30">[2]Регион!#REF!</definedName>
    <definedName name="_7033_1" localSheetId="31">[2]Регион!#REF!</definedName>
    <definedName name="_7033_1" localSheetId="33">[2]Регион!#REF!</definedName>
    <definedName name="_7033_1" localSheetId="34">[2]Регион!#REF!</definedName>
    <definedName name="_7033_1" localSheetId="35">[2]Регион!#REF!</definedName>
    <definedName name="_7033_1" localSheetId="36">[2]Регион!#REF!</definedName>
    <definedName name="_7033_1" localSheetId="26">[2]Регион!#REF!</definedName>
    <definedName name="_7033_1" localSheetId="27">[2]Регион!#REF!</definedName>
    <definedName name="_7033_1" localSheetId="0">[2]Регион!#REF!</definedName>
    <definedName name="_7033_1">[2]Регион!#REF!</definedName>
    <definedName name="_7033_2" localSheetId="25">[2]Регион!#REF!</definedName>
    <definedName name="_7033_2" localSheetId="30">[2]Регион!#REF!</definedName>
    <definedName name="_7033_2" localSheetId="31">[2]Регион!#REF!</definedName>
    <definedName name="_7033_2" localSheetId="33">[2]Регион!#REF!</definedName>
    <definedName name="_7033_2" localSheetId="34">[2]Регион!#REF!</definedName>
    <definedName name="_7033_2" localSheetId="35">[2]Регион!#REF!</definedName>
    <definedName name="_7033_2" localSheetId="36">[2]Регион!#REF!</definedName>
    <definedName name="_7033_2" localSheetId="26">[2]Регион!#REF!</definedName>
    <definedName name="_7033_2" localSheetId="27">[2]Регион!#REF!</definedName>
    <definedName name="_7033_2" localSheetId="0">[2]Регион!#REF!</definedName>
    <definedName name="_7033_2">[2]Регион!#REF!</definedName>
    <definedName name="_7034_1" localSheetId="25">[2]Регион!#REF!</definedName>
    <definedName name="_7034_1" localSheetId="30">[2]Регион!#REF!</definedName>
    <definedName name="_7034_1" localSheetId="31">[2]Регион!#REF!</definedName>
    <definedName name="_7034_1" localSheetId="33">[2]Регион!#REF!</definedName>
    <definedName name="_7034_1" localSheetId="34">[2]Регион!#REF!</definedName>
    <definedName name="_7034_1" localSheetId="35">[2]Регион!#REF!</definedName>
    <definedName name="_7034_1" localSheetId="36">[2]Регион!#REF!</definedName>
    <definedName name="_7034_1" localSheetId="26">[2]Регион!#REF!</definedName>
    <definedName name="_7034_1" localSheetId="27">[2]Регион!#REF!</definedName>
    <definedName name="_7034_1" localSheetId="0">[2]Регион!#REF!</definedName>
    <definedName name="_7034_1">[2]Регион!#REF!</definedName>
    <definedName name="_7034_2" localSheetId="25">[2]Регион!#REF!</definedName>
    <definedName name="_7034_2" localSheetId="30">[2]Регион!#REF!</definedName>
    <definedName name="_7034_2" localSheetId="31">[2]Регион!#REF!</definedName>
    <definedName name="_7034_2" localSheetId="33">[2]Регион!#REF!</definedName>
    <definedName name="_7034_2" localSheetId="34">[2]Регион!#REF!</definedName>
    <definedName name="_7034_2" localSheetId="35">[2]Регион!#REF!</definedName>
    <definedName name="_7034_2" localSheetId="36">[2]Регион!#REF!</definedName>
    <definedName name="_7034_2" localSheetId="26">[2]Регион!#REF!</definedName>
    <definedName name="_7034_2" localSheetId="27">[2]Регион!#REF!</definedName>
    <definedName name="_7034_2" localSheetId="0">[2]Регион!#REF!</definedName>
    <definedName name="_7034_2">[2]Регион!#REF!</definedName>
    <definedName name="column_head" localSheetId="25">#REF!</definedName>
    <definedName name="column_head" localSheetId="30">#REF!</definedName>
    <definedName name="column_head" localSheetId="31">#REF!</definedName>
    <definedName name="column_head" localSheetId="33">#REF!</definedName>
    <definedName name="column_head" localSheetId="34">#REF!</definedName>
    <definedName name="column_head" localSheetId="35">#REF!</definedName>
    <definedName name="column_head" localSheetId="36">#REF!</definedName>
    <definedName name="column_head" localSheetId="26">#REF!</definedName>
    <definedName name="column_head" localSheetId="27">#REF!</definedName>
    <definedName name="column_head" localSheetId="28">#REF!</definedName>
    <definedName name="column_head" localSheetId="29">#REF!</definedName>
    <definedName name="column_head" localSheetId="32">#REF!</definedName>
    <definedName name="column_head" localSheetId="0">#REF!</definedName>
    <definedName name="column_head">#REF!</definedName>
    <definedName name="column_headings" localSheetId="25">#REF!</definedName>
    <definedName name="column_headings" localSheetId="30">#REF!</definedName>
    <definedName name="column_headings" localSheetId="31">#REF!</definedName>
    <definedName name="column_headings" localSheetId="33">#REF!</definedName>
    <definedName name="column_headings" localSheetId="34">#REF!</definedName>
    <definedName name="column_headings" localSheetId="35">#REF!</definedName>
    <definedName name="column_headings" localSheetId="36">#REF!</definedName>
    <definedName name="column_headings" localSheetId="26">#REF!</definedName>
    <definedName name="column_headings" localSheetId="27">#REF!</definedName>
    <definedName name="column_headings" localSheetId="28">#REF!</definedName>
    <definedName name="column_headings" localSheetId="29">#REF!</definedName>
    <definedName name="column_headings" localSheetId="32">#REF!</definedName>
    <definedName name="column_headings" localSheetId="0">#REF!</definedName>
    <definedName name="column_headings">#REF!</definedName>
    <definedName name="column_numbers" localSheetId="25">#REF!</definedName>
    <definedName name="column_numbers" localSheetId="30">#REF!</definedName>
    <definedName name="column_numbers" localSheetId="31">#REF!</definedName>
    <definedName name="column_numbers" localSheetId="33">#REF!</definedName>
    <definedName name="column_numbers" localSheetId="34">#REF!</definedName>
    <definedName name="column_numbers" localSheetId="35">#REF!</definedName>
    <definedName name="column_numbers" localSheetId="36">#REF!</definedName>
    <definedName name="column_numbers" localSheetId="26">#REF!</definedName>
    <definedName name="column_numbers" localSheetId="27">#REF!</definedName>
    <definedName name="column_numbers" localSheetId="28">#REF!</definedName>
    <definedName name="column_numbers" localSheetId="29">#REF!</definedName>
    <definedName name="column_numbers" localSheetId="32">#REF!</definedName>
    <definedName name="column_numbers" localSheetId="0">#REF!</definedName>
    <definedName name="column_numbers">#REF!</definedName>
    <definedName name="data" localSheetId="25">#REF!</definedName>
    <definedName name="data" localSheetId="30">#REF!</definedName>
    <definedName name="data" localSheetId="31">#REF!</definedName>
    <definedName name="data" localSheetId="33">#REF!</definedName>
    <definedName name="data" localSheetId="34">#REF!</definedName>
    <definedName name="data" localSheetId="35">#REF!</definedName>
    <definedName name="data" localSheetId="36">#REF!</definedName>
    <definedName name="data" localSheetId="26">#REF!</definedName>
    <definedName name="data" localSheetId="27">#REF!</definedName>
    <definedName name="data" localSheetId="28">#REF!</definedName>
    <definedName name="data" localSheetId="29">#REF!</definedName>
    <definedName name="data" localSheetId="32">#REF!</definedName>
    <definedName name="data" localSheetId="0">#REF!</definedName>
    <definedName name="data">#REF!</definedName>
    <definedName name="data2" localSheetId="25">#REF!</definedName>
    <definedName name="data2" localSheetId="30">#REF!</definedName>
    <definedName name="data2" localSheetId="31">#REF!</definedName>
    <definedName name="data2" localSheetId="33">#REF!</definedName>
    <definedName name="data2" localSheetId="34">#REF!</definedName>
    <definedName name="data2" localSheetId="35">#REF!</definedName>
    <definedName name="data2" localSheetId="36">#REF!</definedName>
    <definedName name="data2" localSheetId="26">#REF!</definedName>
    <definedName name="data2" localSheetId="27">#REF!</definedName>
    <definedName name="data2" localSheetId="28">#REF!</definedName>
    <definedName name="data2" localSheetId="29">#REF!</definedName>
    <definedName name="data2" localSheetId="32">#REF!</definedName>
    <definedName name="data2" localSheetId="0">#REF!</definedName>
    <definedName name="data2">#REF!</definedName>
    <definedName name="Diag" localSheetId="25">#REF!,#REF!</definedName>
    <definedName name="Diag" localSheetId="30">#REF!,#REF!</definedName>
    <definedName name="Diag" localSheetId="31">#REF!,#REF!</definedName>
    <definedName name="Diag" localSheetId="33">#REF!,#REF!</definedName>
    <definedName name="Diag" localSheetId="34">#REF!,#REF!</definedName>
    <definedName name="Diag" localSheetId="35">#REF!,#REF!</definedName>
    <definedName name="Diag" localSheetId="36">#REF!,#REF!</definedName>
    <definedName name="Diag" localSheetId="26">#REF!,#REF!</definedName>
    <definedName name="Diag" localSheetId="27">#REF!,#REF!</definedName>
    <definedName name="Diag" localSheetId="28">#REF!,#REF!</definedName>
    <definedName name="Diag" localSheetId="29">#REF!,#REF!</definedName>
    <definedName name="Diag" localSheetId="32">#REF!,#REF!</definedName>
    <definedName name="Diag" localSheetId="0">#REF!,#REF!</definedName>
    <definedName name="Diag">#REF!,#REF!</definedName>
    <definedName name="ea_flux" localSheetId="25">#REF!</definedName>
    <definedName name="ea_flux" localSheetId="30">#REF!</definedName>
    <definedName name="ea_flux" localSheetId="31">#REF!</definedName>
    <definedName name="ea_flux" localSheetId="33">#REF!</definedName>
    <definedName name="ea_flux" localSheetId="34">#REF!</definedName>
    <definedName name="ea_flux" localSheetId="35">#REF!</definedName>
    <definedName name="ea_flux" localSheetId="36">#REF!</definedName>
    <definedName name="ea_flux" localSheetId="26">#REF!</definedName>
    <definedName name="ea_flux" localSheetId="27">#REF!</definedName>
    <definedName name="ea_flux" localSheetId="28">#REF!</definedName>
    <definedName name="ea_flux" localSheetId="29">#REF!</definedName>
    <definedName name="ea_flux" localSheetId="32">#REF!</definedName>
    <definedName name="ea_flux" localSheetId="0">#REF!</definedName>
    <definedName name="ea_flux">#REF!</definedName>
    <definedName name="Equilibre" localSheetId="25">#REF!</definedName>
    <definedName name="Equilibre" localSheetId="30">#REF!</definedName>
    <definedName name="Equilibre" localSheetId="31">#REF!</definedName>
    <definedName name="Equilibre" localSheetId="33">#REF!</definedName>
    <definedName name="Equilibre" localSheetId="34">#REF!</definedName>
    <definedName name="Equilibre" localSheetId="35">#REF!</definedName>
    <definedName name="Equilibre" localSheetId="36">#REF!</definedName>
    <definedName name="Equilibre" localSheetId="26">#REF!</definedName>
    <definedName name="Equilibre" localSheetId="27">#REF!</definedName>
    <definedName name="Equilibre" localSheetId="28">#REF!</definedName>
    <definedName name="Equilibre" localSheetId="29">#REF!</definedName>
    <definedName name="Equilibre" localSheetId="32">#REF!</definedName>
    <definedName name="Equilibre" localSheetId="0">#REF!</definedName>
    <definedName name="Equilibre">#REF!</definedName>
    <definedName name="females" localSheetId="32">'[3]rba table'!$I$10:$I$49</definedName>
    <definedName name="females">'[4]rba table'!$I$10:$I$49</definedName>
    <definedName name="fig4b" localSheetId="25">#REF!</definedName>
    <definedName name="fig4b" localSheetId="30">#REF!</definedName>
    <definedName name="fig4b" localSheetId="31">#REF!</definedName>
    <definedName name="fig4b" localSheetId="33">#REF!</definedName>
    <definedName name="fig4b" localSheetId="34">#REF!</definedName>
    <definedName name="fig4b" localSheetId="35">#REF!</definedName>
    <definedName name="fig4b" localSheetId="36">#REF!</definedName>
    <definedName name="fig4b" localSheetId="26">#REF!</definedName>
    <definedName name="fig4b" localSheetId="27">#REF!</definedName>
    <definedName name="fig4b" localSheetId="28">#REF!</definedName>
    <definedName name="fig4b" localSheetId="29">#REF!</definedName>
    <definedName name="fig4b" localSheetId="32">#REF!</definedName>
    <definedName name="fig4b" localSheetId="0">#REF!</definedName>
    <definedName name="fig4b">#REF!</definedName>
    <definedName name="fmtr" localSheetId="25">#REF!</definedName>
    <definedName name="fmtr" localSheetId="30">#REF!</definedName>
    <definedName name="fmtr" localSheetId="31">#REF!</definedName>
    <definedName name="fmtr" localSheetId="33">#REF!</definedName>
    <definedName name="fmtr" localSheetId="34">#REF!</definedName>
    <definedName name="fmtr" localSheetId="35">#REF!</definedName>
    <definedName name="fmtr" localSheetId="36">#REF!</definedName>
    <definedName name="fmtr" localSheetId="26">#REF!</definedName>
    <definedName name="fmtr" localSheetId="27">#REF!</definedName>
    <definedName name="fmtr" localSheetId="28">#REF!</definedName>
    <definedName name="fmtr" localSheetId="29">#REF!</definedName>
    <definedName name="fmtr" localSheetId="32">#REF!</definedName>
    <definedName name="fmtr" localSheetId="0">#REF!</definedName>
    <definedName name="fmtr">#REF!</definedName>
    <definedName name="footno" localSheetId="25">#REF!</definedName>
    <definedName name="footno" localSheetId="30">#REF!</definedName>
    <definedName name="footno" localSheetId="31">#REF!</definedName>
    <definedName name="footno" localSheetId="33">#REF!</definedName>
    <definedName name="footno" localSheetId="34">#REF!</definedName>
    <definedName name="footno" localSheetId="35">#REF!</definedName>
    <definedName name="footno" localSheetId="36">#REF!</definedName>
    <definedName name="footno" localSheetId="26">#REF!</definedName>
    <definedName name="footno" localSheetId="27">#REF!</definedName>
    <definedName name="footno" localSheetId="28">#REF!</definedName>
    <definedName name="footno" localSheetId="29">#REF!</definedName>
    <definedName name="footno" localSheetId="32">#REF!</definedName>
    <definedName name="footno" localSheetId="0">#REF!</definedName>
    <definedName name="footno">#REF!</definedName>
    <definedName name="footnotes" localSheetId="25">#REF!</definedName>
    <definedName name="footnotes" localSheetId="30">#REF!</definedName>
    <definedName name="footnotes" localSheetId="31">#REF!</definedName>
    <definedName name="footnotes" localSheetId="33">#REF!</definedName>
    <definedName name="footnotes" localSheetId="34">#REF!</definedName>
    <definedName name="footnotes" localSheetId="35">#REF!</definedName>
    <definedName name="footnotes" localSheetId="36">#REF!</definedName>
    <definedName name="footnotes" localSheetId="26">#REF!</definedName>
    <definedName name="footnotes" localSheetId="27">#REF!</definedName>
    <definedName name="footnotes" localSheetId="28">#REF!</definedName>
    <definedName name="footnotes" localSheetId="29">#REF!</definedName>
    <definedName name="footnotes" localSheetId="32">#REF!</definedName>
    <definedName name="footnotes" localSheetId="0">#REF!</definedName>
    <definedName name="footnotes">#REF!</definedName>
    <definedName name="footnotes2" localSheetId="25">#REF!</definedName>
    <definedName name="footnotes2" localSheetId="30">#REF!</definedName>
    <definedName name="footnotes2" localSheetId="31">#REF!</definedName>
    <definedName name="footnotes2" localSheetId="33">#REF!</definedName>
    <definedName name="footnotes2" localSheetId="34">#REF!</definedName>
    <definedName name="footnotes2" localSheetId="35">#REF!</definedName>
    <definedName name="footnotes2" localSheetId="36">#REF!</definedName>
    <definedName name="footnotes2" localSheetId="26">#REF!</definedName>
    <definedName name="footnotes2" localSheetId="27">#REF!</definedName>
    <definedName name="footnotes2" localSheetId="28">#REF!</definedName>
    <definedName name="footnotes2" localSheetId="29">#REF!</definedName>
    <definedName name="footnotes2" localSheetId="32">#REF!</definedName>
    <definedName name="footnotes2" localSheetId="0">#REF!</definedName>
    <definedName name="footnotes2">#REF!</definedName>
    <definedName name="GEOG9703" localSheetId="25">#REF!</definedName>
    <definedName name="GEOG9703" localSheetId="30">#REF!</definedName>
    <definedName name="GEOG9703" localSheetId="31">#REF!</definedName>
    <definedName name="GEOG9703" localSheetId="33">#REF!</definedName>
    <definedName name="GEOG9703" localSheetId="34">#REF!</definedName>
    <definedName name="GEOG9703" localSheetId="35">#REF!</definedName>
    <definedName name="GEOG9703" localSheetId="36">#REF!</definedName>
    <definedName name="GEOG9703" localSheetId="26">#REF!</definedName>
    <definedName name="GEOG9703" localSheetId="27">#REF!</definedName>
    <definedName name="GEOG9703" localSheetId="28">#REF!</definedName>
    <definedName name="GEOG9703" localSheetId="29">#REF!</definedName>
    <definedName name="GEOG9703" localSheetId="32">#REF!</definedName>
    <definedName name="GEOG9703" localSheetId="0">#REF!</definedName>
    <definedName name="GEOG9703">#REF!</definedName>
    <definedName name="HTML_CodePage" hidden="1">1252</definedName>
    <definedName name="HTML_Control" localSheetId="25" hidden="1">{"'swa xoffs'!$A$4:$Q$37"}</definedName>
    <definedName name="HTML_Control" localSheetId="30" hidden="1">{"'swa xoffs'!$A$4:$Q$37"}</definedName>
    <definedName name="HTML_Control" localSheetId="31" hidden="1">{"'swa xoffs'!$A$4:$Q$37"}</definedName>
    <definedName name="HTML_Control" localSheetId="36" hidden="1">{"'swa xoffs'!$A$4:$Q$37"}</definedName>
    <definedName name="HTML_Control" localSheetId="26" hidden="1">{"'swa xoffs'!$A$4:$Q$37"}</definedName>
    <definedName name="HTML_Control" localSheetId="32"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32">'[3]rba table'!$C$10:$C$49</definedName>
    <definedName name="males">'[4]rba table'!$C$10:$C$49</definedName>
    <definedName name="PIB" localSheetId="25">#REF!</definedName>
    <definedName name="PIB" localSheetId="30">#REF!</definedName>
    <definedName name="PIB" localSheetId="31">#REF!</definedName>
    <definedName name="PIB" localSheetId="33">#REF!</definedName>
    <definedName name="PIB" localSheetId="34">#REF!</definedName>
    <definedName name="PIB" localSheetId="35">#REF!</definedName>
    <definedName name="PIB" localSheetId="36">#REF!</definedName>
    <definedName name="PIB" localSheetId="26">#REF!</definedName>
    <definedName name="PIB" localSheetId="27">#REF!</definedName>
    <definedName name="PIB" localSheetId="28">#REF!</definedName>
    <definedName name="PIB" localSheetId="29">#REF!</definedName>
    <definedName name="PIB" localSheetId="32">#REF!</definedName>
    <definedName name="PIB" localSheetId="0">#REF!</definedName>
    <definedName name="PIB">#REF!</definedName>
    <definedName name="Rentflag" localSheetId="32">IF([5]Comparison!$B$7,"","not ")</definedName>
    <definedName name="Rentflag" localSheetId="0">IF([6]Comparison!$B$7,"","not ")</definedName>
    <definedName name="Rentflag">IF([6]Comparison!$B$7,"","not ")</definedName>
    <definedName name="ressources" localSheetId="25">#REF!</definedName>
    <definedName name="ressources" localSheetId="30">#REF!</definedName>
    <definedName name="ressources" localSheetId="31">#REF!</definedName>
    <definedName name="ressources" localSheetId="33">#REF!</definedName>
    <definedName name="ressources" localSheetId="34">#REF!</definedName>
    <definedName name="ressources" localSheetId="35">#REF!</definedName>
    <definedName name="ressources" localSheetId="36">#REF!</definedName>
    <definedName name="ressources" localSheetId="26">#REF!</definedName>
    <definedName name="ressources" localSheetId="27">#REF!</definedName>
    <definedName name="ressources" localSheetId="28">#REF!</definedName>
    <definedName name="ressources" localSheetId="29">#REF!</definedName>
    <definedName name="ressources" localSheetId="32">#REF!</definedName>
    <definedName name="ressources" localSheetId="0">#REF!</definedName>
    <definedName name="ressources">#REF!</definedName>
    <definedName name="rpflux" localSheetId="25">#REF!</definedName>
    <definedName name="rpflux" localSheetId="30">#REF!</definedName>
    <definedName name="rpflux" localSheetId="31">#REF!</definedName>
    <definedName name="rpflux" localSheetId="33">#REF!</definedName>
    <definedName name="rpflux" localSheetId="34">#REF!</definedName>
    <definedName name="rpflux" localSheetId="35">#REF!</definedName>
    <definedName name="rpflux" localSheetId="36">#REF!</definedName>
    <definedName name="rpflux" localSheetId="26">#REF!</definedName>
    <definedName name="rpflux" localSheetId="27">#REF!</definedName>
    <definedName name="rpflux" localSheetId="28">#REF!</definedName>
    <definedName name="rpflux" localSheetId="29">#REF!</definedName>
    <definedName name="rpflux" localSheetId="32">#REF!</definedName>
    <definedName name="rpflux" localSheetId="0">#REF!</definedName>
    <definedName name="rpflux">#REF!</definedName>
    <definedName name="rptof" localSheetId="25">#REF!</definedName>
    <definedName name="rptof" localSheetId="30">#REF!</definedName>
    <definedName name="rptof" localSheetId="31">#REF!</definedName>
    <definedName name="rptof" localSheetId="33">#REF!</definedName>
    <definedName name="rptof" localSheetId="34">#REF!</definedName>
    <definedName name="rptof" localSheetId="35">#REF!</definedName>
    <definedName name="rptof" localSheetId="36">#REF!</definedName>
    <definedName name="rptof" localSheetId="26">#REF!</definedName>
    <definedName name="rptof" localSheetId="27">#REF!</definedName>
    <definedName name="rptof" localSheetId="28">#REF!</definedName>
    <definedName name="rptof" localSheetId="29">#REF!</definedName>
    <definedName name="rptof" localSheetId="32">#REF!</definedName>
    <definedName name="rptof" localSheetId="0">#REF!</definedName>
    <definedName name="rptof">#REF!</definedName>
    <definedName name="rq" localSheetId="25">#REF!</definedName>
    <definedName name="rq" localSheetId="30">#REF!</definedName>
    <definedName name="rq" localSheetId="31">#REF!</definedName>
    <definedName name="rq" localSheetId="33">#REF!</definedName>
    <definedName name="rq" localSheetId="34">#REF!</definedName>
    <definedName name="rq" localSheetId="35">#REF!</definedName>
    <definedName name="rq" localSheetId="36">#REF!</definedName>
    <definedName name="rq" localSheetId="26">#REF!</definedName>
    <definedName name="rq" localSheetId="27">#REF!</definedName>
    <definedName name="rq" localSheetId="0">#REF!</definedName>
    <definedName name="rq">#REF!</definedName>
    <definedName name="spanners_level1" localSheetId="25">#REF!</definedName>
    <definedName name="spanners_level1" localSheetId="30">#REF!</definedName>
    <definedName name="spanners_level1" localSheetId="31">#REF!</definedName>
    <definedName name="spanners_level1" localSheetId="33">#REF!</definedName>
    <definedName name="spanners_level1" localSheetId="34">#REF!</definedName>
    <definedName name="spanners_level1" localSheetId="35">#REF!</definedName>
    <definedName name="spanners_level1" localSheetId="36">#REF!</definedName>
    <definedName name="spanners_level1" localSheetId="26">#REF!</definedName>
    <definedName name="spanners_level1" localSheetId="27">#REF!</definedName>
    <definedName name="spanners_level1" localSheetId="28">#REF!</definedName>
    <definedName name="spanners_level1" localSheetId="29">#REF!</definedName>
    <definedName name="spanners_level1" localSheetId="32">#REF!</definedName>
    <definedName name="spanners_level1" localSheetId="0">#REF!</definedName>
    <definedName name="spanners_level1">#REF!</definedName>
    <definedName name="spanners_level2" localSheetId="25">#REF!</definedName>
    <definedName name="spanners_level2" localSheetId="30">#REF!</definedName>
    <definedName name="spanners_level2" localSheetId="31">#REF!</definedName>
    <definedName name="spanners_level2" localSheetId="33">#REF!</definedName>
    <definedName name="spanners_level2" localSheetId="34">#REF!</definedName>
    <definedName name="spanners_level2" localSheetId="35">#REF!</definedName>
    <definedName name="spanners_level2" localSheetId="36">#REF!</definedName>
    <definedName name="spanners_level2" localSheetId="26">#REF!</definedName>
    <definedName name="spanners_level2" localSheetId="27">#REF!</definedName>
    <definedName name="spanners_level2" localSheetId="28">#REF!</definedName>
    <definedName name="spanners_level2" localSheetId="29">#REF!</definedName>
    <definedName name="spanners_level2" localSheetId="32">#REF!</definedName>
    <definedName name="spanners_level2" localSheetId="0">#REF!</definedName>
    <definedName name="spanners_level2">#REF!</definedName>
    <definedName name="spanners_level3" localSheetId="25">#REF!</definedName>
    <definedName name="spanners_level3" localSheetId="30">#REF!</definedName>
    <definedName name="spanners_level3" localSheetId="31">#REF!</definedName>
    <definedName name="spanners_level3" localSheetId="33">#REF!</definedName>
    <definedName name="spanners_level3" localSheetId="34">#REF!</definedName>
    <definedName name="spanners_level3" localSheetId="35">#REF!</definedName>
    <definedName name="spanners_level3" localSheetId="36">#REF!</definedName>
    <definedName name="spanners_level3" localSheetId="26">#REF!</definedName>
    <definedName name="spanners_level3" localSheetId="27">#REF!</definedName>
    <definedName name="spanners_level3" localSheetId="28">#REF!</definedName>
    <definedName name="spanners_level3" localSheetId="29">#REF!</definedName>
    <definedName name="spanners_level3" localSheetId="32">#REF!</definedName>
    <definedName name="spanners_level3" localSheetId="0">#REF!</definedName>
    <definedName name="spanners_level3">#REF!</definedName>
    <definedName name="spanners_level4" localSheetId="25">#REF!</definedName>
    <definedName name="spanners_level4" localSheetId="30">#REF!</definedName>
    <definedName name="spanners_level4" localSheetId="31">#REF!</definedName>
    <definedName name="spanners_level4" localSheetId="33">#REF!</definedName>
    <definedName name="spanners_level4" localSheetId="34">#REF!</definedName>
    <definedName name="spanners_level4" localSheetId="35">#REF!</definedName>
    <definedName name="spanners_level4" localSheetId="36">#REF!</definedName>
    <definedName name="spanners_level4" localSheetId="26">#REF!</definedName>
    <definedName name="spanners_level4" localSheetId="27">#REF!</definedName>
    <definedName name="spanners_level4" localSheetId="28">#REF!</definedName>
    <definedName name="spanners_level4" localSheetId="29">#REF!</definedName>
    <definedName name="spanners_level4" localSheetId="32">#REF!</definedName>
    <definedName name="spanners_level4" localSheetId="0">#REF!</definedName>
    <definedName name="spanners_level4">#REF!</definedName>
    <definedName name="spanners_level5" localSheetId="25">#REF!</definedName>
    <definedName name="spanners_level5" localSheetId="30">#REF!</definedName>
    <definedName name="spanners_level5" localSheetId="31">#REF!</definedName>
    <definedName name="spanners_level5" localSheetId="33">#REF!</definedName>
    <definedName name="spanners_level5" localSheetId="34">#REF!</definedName>
    <definedName name="spanners_level5" localSheetId="35">#REF!</definedName>
    <definedName name="spanners_level5" localSheetId="36">#REF!</definedName>
    <definedName name="spanners_level5" localSheetId="26">#REF!</definedName>
    <definedName name="spanners_level5" localSheetId="27">#REF!</definedName>
    <definedName name="spanners_level5" localSheetId="28">#REF!</definedName>
    <definedName name="spanners_level5" localSheetId="29">#REF!</definedName>
    <definedName name="spanners_level5" localSheetId="32">#REF!</definedName>
    <definedName name="spanners_level5" localSheetId="0">#REF!</definedName>
    <definedName name="spanners_level5">#REF!</definedName>
    <definedName name="spanners_levelV" localSheetId="25">#REF!</definedName>
    <definedName name="spanners_levelV" localSheetId="30">#REF!</definedName>
    <definedName name="spanners_levelV" localSheetId="31">#REF!</definedName>
    <definedName name="spanners_levelV" localSheetId="33">#REF!</definedName>
    <definedName name="spanners_levelV" localSheetId="34">#REF!</definedName>
    <definedName name="spanners_levelV" localSheetId="35">#REF!</definedName>
    <definedName name="spanners_levelV" localSheetId="36">#REF!</definedName>
    <definedName name="spanners_levelV" localSheetId="26">#REF!</definedName>
    <definedName name="spanners_levelV" localSheetId="27">#REF!</definedName>
    <definedName name="spanners_levelV" localSheetId="28">#REF!</definedName>
    <definedName name="spanners_levelV" localSheetId="29">#REF!</definedName>
    <definedName name="spanners_levelV" localSheetId="32">#REF!</definedName>
    <definedName name="spanners_levelV" localSheetId="0">#REF!</definedName>
    <definedName name="spanners_levelV">#REF!</definedName>
    <definedName name="spanners_levelX" localSheetId="25">#REF!</definedName>
    <definedName name="spanners_levelX" localSheetId="30">#REF!</definedName>
    <definedName name="spanners_levelX" localSheetId="31">#REF!</definedName>
    <definedName name="spanners_levelX" localSheetId="33">#REF!</definedName>
    <definedName name="spanners_levelX" localSheetId="34">#REF!</definedName>
    <definedName name="spanners_levelX" localSheetId="35">#REF!</definedName>
    <definedName name="spanners_levelX" localSheetId="36">#REF!</definedName>
    <definedName name="spanners_levelX" localSheetId="26">#REF!</definedName>
    <definedName name="spanners_levelX" localSheetId="27">#REF!</definedName>
    <definedName name="spanners_levelX" localSheetId="28">#REF!</definedName>
    <definedName name="spanners_levelX" localSheetId="29">#REF!</definedName>
    <definedName name="spanners_levelX" localSheetId="32">#REF!</definedName>
    <definedName name="spanners_levelX" localSheetId="0">#REF!</definedName>
    <definedName name="spanners_levelX">#REF!</definedName>
    <definedName name="spanners_levelY" localSheetId="25">#REF!</definedName>
    <definedName name="spanners_levelY" localSheetId="30">#REF!</definedName>
    <definedName name="spanners_levelY" localSheetId="31">#REF!</definedName>
    <definedName name="spanners_levelY" localSheetId="33">#REF!</definedName>
    <definedName name="spanners_levelY" localSheetId="34">#REF!</definedName>
    <definedName name="spanners_levelY" localSheetId="35">#REF!</definedName>
    <definedName name="spanners_levelY" localSheetId="36">#REF!</definedName>
    <definedName name="spanners_levelY" localSheetId="26">#REF!</definedName>
    <definedName name="spanners_levelY" localSheetId="27">#REF!</definedName>
    <definedName name="spanners_levelY" localSheetId="28">#REF!</definedName>
    <definedName name="spanners_levelY" localSheetId="29">#REF!</definedName>
    <definedName name="spanners_levelY" localSheetId="32">#REF!</definedName>
    <definedName name="spanners_levelY" localSheetId="0">#REF!</definedName>
    <definedName name="spanners_levelY">#REF!</definedName>
    <definedName name="spanners_levelZ" localSheetId="25">#REF!</definedName>
    <definedName name="spanners_levelZ" localSheetId="30">#REF!</definedName>
    <definedName name="spanners_levelZ" localSheetId="31">#REF!</definedName>
    <definedName name="spanners_levelZ" localSheetId="33">#REF!</definedName>
    <definedName name="spanners_levelZ" localSheetId="34">#REF!</definedName>
    <definedName name="spanners_levelZ" localSheetId="35">#REF!</definedName>
    <definedName name="spanners_levelZ" localSheetId="36">#REF!</definedName>
    <definedName name="spanners_levelZ" localSheetId="26">#REF!</definedName>
    <definedName name="spanners_levelZ" localSheetId="27">#REF!</definedName>
    <definedName name="spanners_levelZ" localSheetId="28">#REF!</definedName>
    <definedName name="spanners_levelZ" localSheetId="29">#REF!</definedName>
    <definedName name="spanners_levelZ" localSheetId="32">#REF!</definedName>
    <definedName name="spanners_levelZ" localSheetId="0">#REF!</definedName>
    <definedName name="spanners_levelZ">#REF!</definedName>
    <definedName name="stub_lines" localSheetId="25">#REF!</definedName>
    <definedName name="stub_lines" localSheetId="30">#REF!</definedName>
    <definedName name="stub_lines" localSheetId="31">#REF!</definedName>
    <definedName name="stub_lines" localSheetId="33">#REF!</definedName>
    <definedName name="stub_lines" localSheetId="34">#REF!</definedName>
    <definedName name="stub_lines" localSheetId="35">#REF!</definedName>
    <definedName name="stub_lines" localSheetId="36">#REF!</definedName>
    <definedName name="stub_lines" localSheetId="26">#REF!</definedName>
    <definedName name="stub_lines" localSheetId="27">#REF!</definedName>
    <definedName name="stub_lines" localSheetId="28">#REF!</definedName>
    <definedName name="stub_lines" localSheetId="29">#REF!</definedName>
    <definedName name="stub_lines" localSheetId="32">#REF!</definedName>
    <definedName name="stub_lines" localSheetId="0">#REF!</definedName>
    <definedName name="stub_lines">#REF!</definedName>
    <definedName name="Table_DE.4b__Sources_of_private_wealth_accumulation_in_Germany__1870_2010___Multiplicative_decomposition">[7]TableDE4b!$A$3</definedName>
    <definedName name="tableJEL" localSheetId="0">#REF!</definedName>
    <definedName name="tableJEL">#REF!</definedName>
    <definedName name="temp" localSheetId="25">#REF!</definedName>
    <definedName name="temp" localSheetId="30">#REF!</definedName>
    <definedName name="temp" localSheetId="31">#REF!</definedName>
    <definedName name="temp" localSheetId="33">#REF!</definedName>
    <definedName name="temp" localSheetId="34">#REF!</definedName>
    <definedName name="temp" localSheetId="35">#REF!</definedName>
    <definedName name="temp" localSheetId="36">#REF!</definedName>
    <definedName name="temp" localSheetId="26">#REF!</definedName>
    <definedName name="temp" localSheetId="27">#REF!</definedName>
    <definedName name="temp" localSheetId="28">#REF!</definedName>
    <definedName name="temp" localSheetId="29">#REF!</definedName>
    <definedName name="temp" localSheetId="32">#REF!</definedName>
    <definedName name="temp" localSheetId="0">#REF!</definedName>
    <definedName name="temp">#REF!</definedName>
    <definedName name="test" localSheetId="25">[1]Регион!#REF!</definedName>
    <definedName name="test" localSheetId="30">[1]Регион!#REF!</definedName>
    <definedName name="test" localSheetId="31">[1]Регион!#REF!</definedName>
    <definedName name="test" localSheetId="33">[1]Регион!#REF!</definedName>
    <definedName name="test" localSheetId="34">[1]Регион!#REF!</definedName>
    <definedName name="test" localSheetId="35">[1]Регион!#REF!</definedName>
    <definedName name="test" localSheetId="36">[1]Регион!#REF!</definedName>
    <definedName name="test" localSheetId="26">[1]Регион!#REF!</definedName>
    <definedName name="test" localSheetId="27">[1]Регион!#REF!</definedName>
    <definedName name="test" localSheetId="0">[1]Регион!#REF!</definedName>
    <definedName name="test">[1]Регион!#REF!</definedName>
    <definedName name="titles" localSheetId="25">#REF!</definedName>
    <definedName name="titles" localSheetId="30">#REF!</definedName>
    <definedName name="titles" localSheetId="31">#REF!</definedName>
    <definedName name="titles" localSheetId="33">#REF!</definedName>
    <definedName name="titles" localSheetId="34">#REF!</definedName>
    <definedName name="titles" localSheetId="35">#REF!</definedName>
    <definedName name="titles" localSheetId="36">#REF!</definedName>
    <definedName name="titles" localSheetId="26">#REF!</definedName>
    <definedName name="titles" localSheetId="27">#REF!</definedName>
    <definedName name="titles" localSheetId="28">#REF!</definedName>
    <definedName name="titles" localSheetId="29">#REF!</definedName>
    <definedName name="titles" localSheetId="32">#REF!</definedName>
    <definedName name="titles" localSheetId="0">#REF!</definedName>
    <definedName name="titles">#REF!</definedName>
    <definedName name="totals" localSheetId="25">#REF!</definedName>
    <definedName name="totals" localSheetId="30">#REF!</definedName>
    <definedName name="totals" localSheetId="31">#REF!</definedName>
    <definedName name="totals" localSheetId="33">#REF!</definedName>
    <definedName name="totals" localSheetId="34">#REF!</definedName>
    <definedName name="totals" localSheetId="35">#REF!</definedName>
    <definedName name="totals" localSheetId="36">#REF!</definedName>
    <definedName name="totals" localSheetId="26">#REF!</definedName>
    <definedName name="totals" localSheetId="27">#REF!</definedName>
    <definedName name="totals" localSheetId="28">#REF!</definedName>
    <definedName name="totals" localSheetId="29">#REF!</definedName>
    <definedName name="totals" localSheetId="32">#REF!</definedName>
    <definedName name="totals" localSheetId="0">#REF!</definedName>
    <definedName name="totals">#REF!</definedName>
    <definedName name="tt" localSheetId="25">#REF!</definedName>
    <definedName name="tt" localSheetId="30">#REF!</definedName>
    <definedName name="tt" localSheetId="31">#REF!</definedName>
    <definedName name="tt" localSheetId="33">#REF!</definedName>
    <definedName name="tt" localSheetId="34">#REF!</definedName>
    <definedName name="tt" localSheetId="35">#REF!</definedName>
    <definedName name="tt" localSheetId="36">#REF!</definedName>
    <definedName name="tt" localSheetId="26">#REF!</definedName>
    <definedName name="tt" localSheetId="27">#REF!</definedName>
    <definedName name="tt" localSheetId="28">#REF!</definedName>
    <definedName name="tt" localSheetId="29">#REF!</definedName>
    <definedName name="tt" localSheetId="0">#REF!</definedName>
    <definedName name="tt">#REF!</definedName>
    <definedName name="xxx" localSheetId="25">#REF!</definedName>
    <definedName name="xxx" localSheetId="30">#REF!</definedName>
    <definedName name="xxx" localSheetId="31">#REF!</definedName>
    <definedName name="xxx" localSheetId="33">#REF!</definedName>
    <definedName name="xxx" localSheetId="34">#REF!</definedName>
    <definedName name="xxx" localSheetId="35">#REF!</definedName>
    <definedName name="xxx" localSheetId="36">#REF!</definedName>
    <definedName name="xxx" localSheetId="26">#REF!</definedName>
    <definedName name="xxx" localSheetId="27">#REF!</definedName>
    <definedName name="xxx" localSheetId="28">#REF!</definedName>
    <definedName name="xxx" localSheetId="29">#REF!</definedName>
    <definedName name="xxx" localSheetId="32">#REF!</definedName>
    <definedName name="xxx" localSheetId="0">#REF!</definedName>
    <definedName name="xxx">#REF!</definedName>
    <definedName name="Year" localSheetId="32">[5]Output!$C$4:$C$38</definedName>
    <definedName name="Year" localSheetId="0">[6]Output!$C$4:$C$38</definedName>
    <definedName name="Year">[6]Output!$C$4:$C$38</definedName>
    <definedName name="YearLabel" localSheetId="32">[5]Output!$B$15</definedName>
    <definedName name="YearLabel" localSheetId="0">[6]Output!$B$15</definedName>
    <definedName name="YearLabel">[6]Output!$B$15</definedName>
  </definedNames>
  <calcPr calcId="152511" concurrentCalc="0"/>
</workbook>
</file>

<file path=xl/calcChain.xml><?xml version="1.0" encoding="utf-8"?>
<calcChain xmlns="http://schemas.openxmlformats.org/spreadsheetml/2006/main">
  <c r="B42" i="81" l="1"/>
  <c r="N41" i="81"/>
  <c r="M41" i="81"/>
  <c r="B41" i="81"/>
  <c r="D31" i="81"/>
  <c r="D32" i="81"/>
  <c r="P40" i="81"/>
  <c r="N40" i="81"/>
  <c r="M40" i="81"/>
  <c r="B40" i="81"/>
  <c r="N39" i="81"/>
  <c r="M39" i="81"/>
  <c r="B39" i="81"/>
  <c r="M36" i="81"/>
  <c r="M35" i="81"/>
  <c r="M34" i="81"/>
  <c r="M33" i="81"/>
  <c r="A33" i="81"/>
  <c r="A34" i="81"/>
  <c r="A35" i="81"/>
  <c r="A36" i="81"/>
  <c r="M32" i="81"/>
  <c r="A32" i="81"/>
  <c r="Q31" i="81"/>
  <c r="N31" i="81"/>
  <c r="N32" i="81"/>
  <c r="M31" i="81"/>
  <c r="H31" i="81"/>
  <c r="H32" i="81"/>
  <c r="F31" i="81"/>
  <c r="F32" i="81"/>
  <c r="B31" i="81"/>
  <c r="C31" i="81"/>
  <c r="Q30" i="81"/>
  <c r="P30" i="81"/>
  <c r="P41" i="81"/>
  <c r="L30" i="81"/>
  <c r="L31" i="81"/>
  <c r="L32" i="81"/>
  <c r="L33" i="81"/>
  <c r="L34" i="81"/>
  <c r="L35" i="81"/>
  <c r="L36" i="81"/>
  <c r="Q29" i="81"/>
  <c r="P29" i="81"/>
  <c r="L29" i="81"/>
  <c r="Q28" i="81"/>
  <c r="P28" i="81"/>
  <c r="L28" i="81"/>
  <c r="Q27" i="81"/>
  <c r="P27" i="81"/>
  <c r="L27" i="81"/>
  <c r="Q26" i="81"/>
  <c r="P26" i="81"/>
  <c r="L26" i="81"/>
  <c r="Q25" i="81"/>
  <c r="P25" i="81"/>
  <c r="L25" i="81"/>
  <c r="Q24" i="81"/>
  <c r="P24" i="81"/>
  <c r="L24" i="81"/>
  <c r="Q23" i="81"/>
  <c r="P23" i="81"/>
  <c r="L23" i="81"/>
  <c r="Q22" i="81"/>
  <c r="P22" i="81"/>
  <c r="L22" i="81"/>
  <c r="Q21" i="81"/>
  <c r="P21" i="81"/>
  <c r="L21" i="81"/>
  <c r="Q20" i="81"/>
  <c r="P20" i="81"/>
  <c r="L20" i="81"/>
  <c r="Q19" i="81"/>
  <c r="P19" i="81"/>
  <c r="L19" i="81"/>
  <c r="Q18" i="81"/>
  <c r="P18" i="81"/>
  <c r="L18" i="81"/>
  <c r="Q17" i="81"/>
  <c r="P17" i="81"/>
  <c r="L17" i="81"/>
  <c r="Q16" i="81"/>
  <c r="P16" i="81"/>
  <c r="L16" i="81"/>
  <c r="Q15" i="81"/>
  <c r="P15" i="81"/>
  <c r="L15" i="81"/>
  <c r="Q14" i="81"/>
  <c r="P14" i="81"/>
  <c r="L14" i="81"/>
  <c r="Q13" i="81"/>
  <c r="P13" i="81"/>
  <c r="L13" i="81"/>
  <c r="Q12" i="81"/>
  <c r="P12" i="81"/>
  <c r="L12" i="81"/>
  <c r="Q11" i="81"/>
  <c r="P11" i="81"/>
  <c r="L11" i="81"/>
  <c r="Q10" i="81"/>
  <c r="P10" i="81"/>
  <c r="L10" i="81"/>
  <c r="Q9" i="81"/>
  <c r="P9" i="81"/>
  <c r="L9" i="81"/>
  <c r="Q8" i="81"/>
  <c r="P8" i="81"/>
  <c r="L8" i="81"/>
  <c r="Q7" i="81"/>
  <c r="P7" i="81"/>
  <c r="L7" i="81"/>
  <c r="Q6" i="81"/>
  <c r="P6" i="81"/>
  <c r="L6" i="81"/>
  <c r="Q5" i="81"/>
  <c r="P5" i="81"/>
  <c r="L5" i="81"/>
  <c r="Q4" i="81"/>
  <c r="P4" i="81"/>
  <c r="L4" i="81"/>
  <c r="F33" i="81"/>
  <c r="G32" i="81"/>
  <c r="P32" i="81"/>
  <c r="N33" i="81"/>
  <c r="E32" i="81"/>
  <c r="D33" i="81"/>
  <c r="E31" i="81"/>
  <c r="K31" i="81"/>
  <c r="I31" i="81"/>
  <c r="G31" i="81"/>
  <c r="I32" i="81"/>
  <c r="H33" i="81"/>
  <c r="P31" i="81"/>
  <c r="J31" i="81"/>
  <c r="J32" i="81"/>
  <c r="B32" i="81"/>
  <c r="P39" i="81"/>
  <c r="C32" i="81"/>
  <c r="B33" i="81"/>
  <c r="Q32" i="81"/>
  <c r="K33" i="81"/>
  <c r="K34" i="81"/>
  <c r="K35" i="81"/>
  <c r="K36" i="81"/>
  <c r="J33" i="81"/>
  <c r="J34" i="81"/>
  <c r="J35" i="81"/>
  <c r="J36" i="81"/>
  <c r="E33" i="81"/>
  <c r="D34" i="81"/>
  <c r="I33" i="81"/>
  <c r="H34" i="81"/>
  <c r="P33" i="81"/>
  <c r="N34" i="81"/>
  <c r="G33" i="81"/>
  <c r="F34" i="81"/>
  <c r="E34" i="81"/>
  <c r="D35" i="81"/>
  <c r="G34" i="81"/>
  <c r="F35" i="81"/>
  <c r="P34" i="81"/>
  <c r="N35" i="81"/>
  <c r="C33" i="81"/>
  <c r="B34" i="81"/>
  <c r="Q33" i="81"/>
  <c r="I34" i="81"/>
  <c r="H35" i="81"/>
  <c r="P35" i="81"/>
  <c r="N36" i="81"/>
  <c r="P36" i="81"/>
  <c r="G35" i="81"/>
  <c r="F36" i="81"/>
  <c r="G36" i="81"/>
  <c r="C34" i="81"/>
  <c r="B35" i="81"/>
  <c r="Q34" i="81"/>
  <c r="I35" i="81"/>
  <c r="H36" i="81"/>
  <c r="I36" i="81"/>
  <c r="E35" i="81"/>
  <c r="D36" i="81"/>
  <c r="E36" i="81"/>
  <c r="C35" i="81"/>
  <c r="B36" i="81"/>
  <c r="Q35" i="81"/>
  <c r="C36" i="81"/>
  <c r="Q36" i="81"/>
  <c r="DY68" i="75"/>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5" i="66"/>
  <c r="E35" i="66"/>
  <c r="D35" i="66"/>
  <c r="C35" i="66"/>
  <c r="B35" i="66"/>
  <c r="F36" i="66"/>
  <c r="E36" i="66"/>
  <c r="D36" i="66"/>
  <c r="C36" i="66"/>
  <c r="B36" i="66"/>
  <c r="C37" i="66"/>
  <c r="D37" i="66"/>
  <c r="D42"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B5" i="69"/>
  <c r="K5" i="69"/>
  <c r="R5" i="69"/>
  <c r="B6" i="69"/>
  <c r="I6" i="69"/>
  <c r="J6" i="69"/>
  <c r="K6" i="69"/>
  <c r="O6" i="69"/>
  <c r="R6" i="69"/>
  <c r="J7" i="69"/>
  <c r="K7" i="69"/>
  <c r="O7" i="69"/>
  <c r="R7" i="69"/>
  <c r="J8" i="69"/>
  <c r="K8" i="69"/>
  <c r="O8" i="69"/>
  <c r="R8" i="69"/>
  <c r="J9" i="69"/>
  <c r="K9" i="69"/>
  <c r="O9" i="69"/>
  <c r="R9" i="69"/>
  <c r="J10" i="69"/>
  <c r="K10" i="69"/>
  <c r="O10" i="69"/>
  <c r="R10" i="69"/>
  <c r="J11" i="69"/>
  <c r="K11" i="69"/>
  <c r="O11" i="69"/>
  <c r="R11" i="69"/>
  <c r="J12" i="69"/>
  <c r="K12" i="69"/>
  <c r="O12" i="69"/>
  <c r="R12" i="69"/>
  <c r="J13" i="69"/>
  <c r="K13" i="69"/>
  <c r="O13" i="69"/>
  <c r="R13" i="69"/>
  <c r="J14" i="69"/>
  <c r="K14" i="69"/>
  <c r="O14" i="69"/>
  <c r="R14" i="69"/>
  <c r="J15" i="69"/>
  <c r="K15" i="69"/>
  <c r="O15" i="69"/>
  <c r="R15" i="69"/>
  <c r="J16" i="69"/>
  <c r="K16" i="69"/>
  <c r="O16" i="69"/>
  <c r="R16" i="69"/>
  <c r="J17" i="69"/>
  <c r="K17" i="69"/>
  <c r="O17" i="69"/>
  <c r="R17" i="69"/>
  <c r="J18" i="69"/>
  <c r="K18" i="69"/>
  <c r="O18" i="69"/>
  <c r="R18" i="69"/>
  <c r="J19" i="69"/>
  <c r="K19" i="69"/>
  <c r="O19" i="69"/>
  <c r="R19" i="69"/>
  <c r="J20" i="69"/>
  <c r="K20" i="69"/>
  <c r="O20" i="69"/>
  <c r="R20" i="69"/>
  <c r="J21" i="69"/>
  <c r="K21" i="69"/>
  <c r="O21" i="69"/>
  <c r="R21" i="69"/>
  <c r="J22" i="69"/>
  <c r="K22" i="69"/>
  <c r="N22" i="69"/>
  <c r="O22" i="69"/>
  <c r="Q22" i="69"/>
  <c r="R22" i="69"/>
  <c r="I23" i="69"/>
  <c r="J23" i="69"/>
  <c r="Q23" i="69"/>
  <c r="R23" i="69"/>
  <c r="B24" i="69"/>
  <c r="N23" i="69"/>
  <c r="K23" i="69"/>
  <c r="I24" i="69"/>
  <c r="F41" i="66"/>
  <c r="AR23" i="66"/>
  <c r="AQ23" i="66"/>
  <c r="AP23" i="66"/>
  <c r="AR22" i="66"/>
  <c r="AQ22" i="66"/>
  <c r="AP22" i="66"/>
  <c r="C12" i="69"/>
  <c r="C20" i="69"/>
  <c r="C9" i="69"/>
  <c r="D9" i="69"/>
  <c r="F9" i="69"/>
  <c r="C17" i="69"/>
  <c r="D17" i="69"/>
  <c r="F17" i="69"/>
  <c r="C11" i="69"/>
  <c r="D11" i="69"/>
  <c r="F11" i="69"/>
  <c r="C19" i="69"/>
  <c r="C18" i="69"/>
  <c r="D18" i="69"/>
  <c r="F18" i="69"/>
  <c r="C8" i="69"/>
  <c r="D8" i="69"/>
  <c r="F8" i="69"/>
  <c r="C16" i="69"/>
  <c r="N24" i="69"/>
  <c r="C6" i="69"/>
  <c r="D6" i="69"/>
  <c r="F6" i="69"/>
  <c r="C7" i="69"/>
  <c r="D7" i="69"/>
  <c r="F7" i="69"/>
  <c r="C15" i="69"/>
  <c r="D15" i="69"/>
  <c r="F15" i="69"/>
  <c r="C14" i="69"/>
  <c r="C22" i="69"/>
  <c r="D22" i="69"/>
  <c r="F22" i="69"/>
  <c r="O23" i="69"/>
  <c r="C5" i="69"/>
  <c r="C13" i="69"/>
  <c r="D13" i="69"/>
  <c r="F13" i="69"/>
  <c r="C21" i="69"/>
  <c r="D21" i="69"/>
  <c r="F21" i="69"/>
  <c r="C23" i="69"/>
  <c r="C10" i="69"/>
  <c r="D10" i="69"/>
  <c r="F10" i="69"/>
  <c r="C7" i="66"/>
  <c r="C8" i="66"/>
  <c r="C9" i="66"/>
  <c r="E10" i="66"/>
  <c r="C11" i="66"/>
  <c r="V11" i="66"/>
  <c r="W11" i="66"/>
  <c r="B34" i="66"/>
  <c r="C12" i="66"/>
  <c r="W12" i="66"/>
  <c r="V12" i="66"/>
  <c r="E13" i="66"/>
  <c r="V13" i="66"/>
  <c r="W13" i="66"/>
  <c r="C14" i="66"/>
  <c r="V14" i="66"/>
  <c r="W14" i="66"/>
  <c r="AG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G23" i="66"/>
  <c r="AN23" i="66"/>
  <c r="C24" i="66"/>
  <c r="AI25" i="66"/>
  <c r="AJ25" i="66"/>
  <c r="AK25" i="66"/>
  <c r="C34" i="66"/>
  <c r="D34" i="66"/>
  <c r="F34" i="66"/>
  <c r="B37" i="66"/>
  <c r="B38" i="66"/>
  <c r="C38" i="66"/>
  <c r="D38" i="66"/>
  <c r="F38" i="66"/>
  <c r="F40" i="66"/>
  <c r="D14" i="69"/>
  <c r="F14" i="69"/>
  <c r="D19" i="69"/>
  <c r="F19" i="69"/>
  <c r="D23" i="69"/>
  <c r="F23" i="69"/>
  <c r="C24" i="69"/>
  <c r="D20" i="69"/>
  <c r="F20" i="69"/>
  <c r="D5" i="69"/>
  <c r="F5" i="69"/>
  <c r="D16" i="69"/>
  <c r="F16" i="69"/>
  <c r="D12" i="69"/>
  <c r="F12" i="69"/>
  <c r="AG21" i="66"/>
  <c r="E39" i="66"/>
  <c r="B40" i="66"/>
  <c r="AG17" i="66"/>
  <c r="AG11" i="66"/>
  <c r="E34" i="66"/>
  <c r="D32" i="8"/>
  <c r="C32" i="8"/>
  <c r="D48" i="8"/>
  <c r="V48" i="8"/>
  <c r="C48" i="8"/>
  <c r="U48" i="8"/>
  <c r="Y68" i="8"/>
  <c r="X68" i="8"/>
  <c r="Y63" i="8"/>
  <c r="X63" i="8"/>
  <c r="Y58" i="8"/>
  <c r="X58" i="8"/>
  <c r="Y53" i="8"/>
  <c r="X53" i="8"/>
  <c r="Y46" i="8"/>
  <c r="X46" i="8"/>
  <c r="Y44" i="8"/>
  <c r="X44" i="8"/>
  <c r="Y39" i="8"/>
  <c r="X39" i="8"/>
  <c r="Y37" i="8"/>
  <c r="X37" i="8"/>
  <c r="Y29" i="8"/>
  <c r="X29" i="8"/>
  <c r="Y25" i="8"/>
  <c r="X25" i="8"/>
  <c r="Y24" i="8"/>
  <c r="X24" i="8"/>
  <c r="Y18" i="8"/>
  <c r="X18" i="8"/>
  <c r="Y16" i="8"/>
  <c r="X16" i="8"/>
  <c r="Y13" i="8"/>
  <c r="X13" i="8"/>
  <c r="Y9" i="8"/>
  <c r="X9" i="8"/>
  <c r="Y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D68" i="8"/>
  <c r="C68" i="8"/>
  <c r="D63" i="8"/>
  <c r="C63" i="8"/>
  <c r="D58" i="8"/>
  <c r="C58" i="8"/>
  <c r="D53" i="8"/>
  <c r="C53" i="8"/>
  <c r="D46" i="8"/>
  <c r="C46" i="8"/>
  <c r="D44" i="8"/>
  <c r="C44" i="8"/>
  <c r="D39" i="8"/>
  <c r="C39" i="8"/>
  <c r="D37" i="8"/>
  <c r="C37" i="8"/>
  <c r="D29" i="8"/>
  <c r="C29" i="8"/>
  <c r="D25" i="8"/>
  <c r="C25" i="8"/>
  <c r="D24" i="8"/>
  <c r="C24" i="8"/>
  <c r="D18" i="8"/>
  <c r="C18" i="8"/>
  <c r="D16" i="8"/>
  <c r="C16" i="8"/>
  <c r="D13" i="8"/>
  <c r="C13" i="8"/>
  <c r="D9" i="8"/>
  <c r="C9" i="8"/>
  <c r="D7" i="8"/>
  <c r="C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K24" i="9"/>
  <c r="F24" i="9"/>
  <c r="L24" i="9"/>
  <c r="C29" i="9"/>
  <c r="E29" i="9"/>
  <c r="F29" i="9"/>
  <c r="K29" i="9"/>
  <c r="L29" i="9"/>
  <c r="C30" i="9"/>
  <c r="I30" i="9"/>
  <c r="E30" i="9"/>
  <c r="K30" i="9"/>
  <c r="F30" i="9"/>
  <c r="L30" i="9"/>
  <c r="B35" i="9"/>
  <c r="C35" i="9"/>
  <c r="E35" i="9"/>
  <c r="K35" i="9"/>
  <c r="F35" i="9"/>
  <c r="L35" i="9"/>
  <c r="B40" i="9"/>
  <c r="C40" i="9"/>
  <c r="E40" i="9"/>
  <c r="F40" i="9"/>
  <c r="G40" i="9"/>
  <c r="L40" i="9"/>
  <c r="B43" i="9"/>
  <c r="J43" i="9"/>
  <c r="C43" i="9"/>
  <c r="E43" i="9"/>
  <c r="F43" i="9"/>
  <c r="K43" i="9"/>
  <c r="L43" i="9"/>
  <c r="B48" i="9"/>
  <c r="C48" i="9"/>
  <c r="E48" i="9"/>
  <c r="K48" i="9"/>
  <c r="F48" i="9"/>
  <c r="G48" i="9"/>
  <c r="L48" i="9"/>
  <c r="B50" i="9"/>
  <c r="C50" i="9"/>
  <c r="E50" i="9"/>
  <c r="K50" i="9"/>
  <c r="F50" i="9"/>
  <c r="G50" i="9"/>
  <c r="L50" i="9"/>
  <c r="B55" i="9"/>
  <c r="C55" i="9"/>
  <c r="E55" i="9"/>
  <c r="F55" i="9"/>
  <c r="G55" i="9"/>
  <c r="H55" i="9"/>
  <c r="L55" i="9"/>
  <c r="B59" i="9"/>
  <c r="C59" i="9"/>
  <c r="E59" i="9"/>
  <c r="F59" i="9"/>
  <c r="G59" i="9"/>
  <c r="H59" i="9"/>
  <c r="L59" i="9"/>
  <c r="B64" i="9"/>
  <c r="J64" i="9"/>
  <c r="C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N40" i="9"/>
  <c r="O35" i="9"/>
  <c r="J79" i="9"/>
  <c r="M79" i="9"/>
  <c r="J59" i="9"/>
  <c r="M59" i="9"/>
  <c r="J48" i="9"/>
  <c r="N48" i="9"/>
  <c r="O43" i="9"/>
  <c r="J35" i="9"/>
  <c r="M35" i="9"/>
  <c r="J30" i="9"/>
  <c r="M30" i="9"/>
  <c r="I29" i="9"/>
  <c r="J20" i="9"/>
  <c r="M20" i="9"/>
  <c r="K40" i="9"/>
  <c r="O6" i="9"/>
  <c r="K59"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<sst xmlns="http://schemas.openxmlformats.org/spreadsheetml/2006/main" count="694" uniqueCount="308">
  <si>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</si>
  <si>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</si>
  <si>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</si>
  <si>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</si>
  <si>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</si>
  <si>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</si>
  <si>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</si>
  <si>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</si>
  <si>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</si>
  <si>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</si>
  <si>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</si>
  <si>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</si>
  <si>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</si>
  <si>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</si>
  <si>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</si>
  <si>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</si>
  <si>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</si>
  <si>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</si>
  <si>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</si>
  <si>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</si>
  <si>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</si>
  <si>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</si>
  <si>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</si>
  <si>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</si>
  <si>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</si>
  <si>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</si>
  <si>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</si>
  <si>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</si>
  <si>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</si>
  <si>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</si>
  <si>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</si>
  <si>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</si>
  <si>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</si>
  <si>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</si>
  <si>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</si>
  <si>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</si>
  <si>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</si>
  <si>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</si>
  <si>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</si>
  <si>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</si>
  <si>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</si>
  <si>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</si>
  <si>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</si>
  <si>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</si>
  <si>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</si>
  <si>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</si>
  <si>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</si>
  <si>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</si>
  <si>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</si>
  <si>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</si>
  <si>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</si>
  <si>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</si>
  <si>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</si>
  <si>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</si>
  <si>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</si>
  <si>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</si>
  <si>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</si>
  <si>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</si>
  <si>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</si>
  <si>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</si>
  <si>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</si>
  <si>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</si>
  <si>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</si>
  <si>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</si>
  <si>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</si>
  <si>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</si>
  <si>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</si>
  <si>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</si>
  <si>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</si>
  <si>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</si>
  <si>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</si>
  <si>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</si>
  <si>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</si>
  <si>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</si>
  <si>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</si>
  <si>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</si>
  <si>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</si>
  <si>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</si>
  <si>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</si>
  <si>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</si>
  <si>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</si>
  <si>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</si>
  <si>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</si>
  <si>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</si>
  <si>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</si>
  <si>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</si>
  <si>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</si>
  <si>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</si>
  <si>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</si>
  <si>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</si>
  <si>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</si>
  <si>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</si>
  <si>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</si>
  <si>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</si>
  <si>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</si>
  <si>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</si>
  <si>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</si>
  <si>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</si>
  <si>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</si>
  <si>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</si>
  <si>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</si>
  <si>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</si>
  <si>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</si>
  <si>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</si>
  <si>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</si>
  <si>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</si>
  <si>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</si>
  <si>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</si>
  <si>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</si>
  <si>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</si>
  <si>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</si>
  <si>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</si>
  <si>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</si>
  <si>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</si>
  <si>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</si>
  <si>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</si>
  <si>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</si>
  <si>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</si>
  <si>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</si>
  <si>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</si>
  <si>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</si>
  <si>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</si>
  <si>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</si>
  <si>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</si>
  <si>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</si>
  <si>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</si>
  <si>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</si>
  <si>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</si>
  <si>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</si>
  <si>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</si>
  <si>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</si>
  <si>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</si>
  <si>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</si>
  <si>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</si>
  <si>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</si>
  <si>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</si>
  <si>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</si>
  <si>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</si>
  <si>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</si>
  <si>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</si>
  <si>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</si>
  <si>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</si>
  <si>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</si>
  <si>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</si>
  <si>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</si>
  <si>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</si>
  <si>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</si>
  <si>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</si>
  <si>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</si>
  <si>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</si>
  <si>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</si>
  <si>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</si>
  <si>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</si>
  <si>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</si>
  <si>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</si>
  <si>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</si>
  <si>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</si>
  <si>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</si>
  <si>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</si>
  <si>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</si>
  <si>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</si>
  <si>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</si>
  <si>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</si>
  <si>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(p.16)</t>
  </si>
  <si>
    <t>http://cache.media.enseignementsup-recherche.gouv.fr/file/Atlas_2001-2002/77/4/00-atlas2001-2002_32302_306774.pdf</t>
  </si>
  <si>
    <t>(p.9)</t>
  </si>
  <si>
    <t>http://cache.media.enseignementsup-recherche.gouv.fr/file/2006-2007/74/0/02-etablissements-filieres-sites-evolutions-atlas-regional-effectifs-etudiants-1999-2000-4_306740.pdf</t>
  </si>
  <si>
    <t>(p.165)</t>
  </si>
  <si>
    <t>http://cache.media.enseignementsup-recherche.gouv.fr/file/2009/19/4/RERS2009_119194.pdf</t>
  </si>
  <si>
    <t>(p.167)</t>
  </si>
  <si>
    <t>http://cache.media.enseignementsup-recherche.gouv.fr/file/2011/69/1/DEPP-RERS-2011_190014_191691.pdf</t>
  </si>
  <si>
    <t>(p.159)</t>
  </si>
  <si>
    <t>http://cache.media.enseignementsup-recherche.gouv.fr/file/2016/46/1/depp_rers_2016_optim_630461.pdf</t>
  </si>
  <si>
    <t>http://cache.media.enseignementsup-recherche.gouv.fr/file/2016/04/7/NI_16.10_-_Effectifs_etudiants_2015-2016_689047.pdf</t>
  </si>
  <si>
    <t>http://cache.media.enseignementsup-recherche.gouv.fr/file/2017/29/0/NF_2017-11_Synthese_effectifs_etudiants_2016-2017_num_802290.pdf</t>
  </si>
  <si>
    <t>Sources pour les nombres d'étudiants (total enseignement supérieur) (Ministère de l'Enseignement Supérieur):</t>
  </si>
  <si>
    <t>http://www4.minefi.gouv.fr/budget/plf2001/bleus/38/cadre.htm</t>
  </si>
  <si>
    <t>(p.6)</t>
  </si>
  <si>
    <t>http://www4.minefi.gouv.fr/budget/plf2003/bleus/pdf/svmn38.pdf</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</si>
  <si>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</si>
  <si>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</si>
  <si>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https://www.performance-publique.budget.gouv.fr/sites/performance_publique/files/farandole/ressources/2006/pap/pdf/DBGPGMPGM150.pdf</t>
  </si>
  <si>
    <t>(p.27)</t>
  </si>
  <si>
    <t>https://www.performance-publique.budget.gouv.fr/sites/performance_publique/files/farandole/ressources/2007/pap/pdf/DBGNORMALMSNRA.pdf</t>
  </si>
  <si>
    <t>https://www.performance-publique.budget.gouv.fr/sites/performance_publique/files/farandole/ressources/2008/pap/pdf/PAP2008_BG_Recherche_et_enseignement_superieur.pdf</t>
  </si>
  <si>
    <t>(p.32)</t>
  </si>
  <si>
    <t>https://www.performance-publique.budget.gouv.fr/sites/performance_publique/files/farandole/ressources/2010/pap/pdf/PAP2010_BG_Recherche_enseignement_superieur.pdf</t>
  </si>
  <si>
    <t>(p.30)</t>
  </si>
  <si>
    <t>https://www.performance-publique.budget.gouv.fr/sites/performance_publique/files/farandole/ressources/2012/pap/pdf/PAP2012_BG_Recherche_enseignement_superieur.pdf</t>
  </si>
  <si>
    <t>(p.44)</t>
  </si>
  <si>
    <t>https://www.performance-publique.budget.gouv.fr/sites/performance_publique/files/farandole/ressources/2014/pap/pdf/DBGPGMPGM150.pdf</t>
  </si>
  <si>
    <t>(p.37)</t>
  </si>
  <si>
    <t xml:space="preserve">https://www.performance-publique.budget.gouv.fr/sites/performance_publique/files/farandole/ressources/2016/pap/pdf/DBGPGMPGM150.pdf
</t>
  </si>
  <si>
    <t>(p.39)</t>
  </si>
  <si>
    <t xml:space="preserve">https://www.performance-publique.budget.gouv.fr/sites/performance_publique/files/farandole/ressources/2018/pap/pdf/DBGPGMPGM150.pdf
</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</si>
  <si>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</si>
  <si>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2018/2008</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</si>
  <si>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</si>
  <si>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</si>
  <si>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</si>
  <si>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</si>
  <si>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</si>
  <si>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</si>
  <si>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</si>
  <si>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</si>
  <si>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</si>
  <si>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</si>
  <si>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</si>
  <si>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</si>
  <si>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</si>
  <si>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</si>
  <si>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</si>
  <si>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</si>
  <si>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</si>
  <si>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</si>
  <si>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1999-2000</t>
  </si>
  <si>
    <t>Indice 100 2008</t>
  </si>
  <si>
    <t>(euros 2016)</t>
  </si>
  <si>
    <t>Inflation</t>
  </si>
  <si>
    <t>Indice 2016=1</t>
  </si>
  <si>
    <t>Indice 2008=100</t>
  </si>
  <si>
    <t>croissance</t>
  </si>
  <si>
    <t>(milliers)</t>
  </si>
  <si>
    <t>euros 2018</t>
  </si>
  <si>
    <t>euros courants</t>
  </si>
  <si>
    <t>Revenu national par adulte (PPP euros 2016) (WID.world)</t>
  </si>
  <si>
    <t>National income price index (WID.world)</t>
  </si>
  <si>
    <t>Nombre total d'étudiants</t>
  </si>
  <si>
    <t>Budget/étudiant</t>
  </si>
  <si>
    <t>Budget de l'enseignement supérieur</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</si>
  <si>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</si>
  <si>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</si>
  <si>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</si>
  <si>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 budget de l'enseignement supérieur (voir http://piketty.blog.lemonde.fr/2017/10/12/budget-2018-la-jeunesse-sacrifiee/)</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</si>
  <si>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</si>
  <si>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</si>
  <si>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</si>
  <si>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</si>
  <si>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</si>
  <si>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</si>
  <si>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</si>
  <si>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</si>
  <si>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</si>
  <si>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</si>
  <si>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</si>
  <si>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</si>
  <si>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</si>
  <si>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</si>
  <si>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</si>
  <si>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</si>
  <si>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</si>
  <si>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</si>
  <si>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</si>
  <si>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</si>
  <si>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</si>
  <si>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</si>
  <si>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</si>
  <si>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</si>
  <si>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</si>
  <si>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</si>
  <si>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</si>
  <si>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</si>
  <si>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</si>
  <si>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</si>
  <si>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</si>
  <si>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</si>
  <si>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</si>
  <si>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</si>
  <si>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</si>
  <si>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</si>
  <si>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</si>
  <si>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</si>
  <si>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</si>
  <si>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</si>
  <si>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</si>
  <si>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</si>
  <si>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</si>
  <si>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</si>
  <si>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</si>
  <si>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</si>
  <si>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</si>
  <si>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Annee</t>
  </si>
  <si>
    <r>
      <t xml:space="preserve">Patrimoine total net des ménages
 </t>
    </r>
    <r>
      <rPr>
        <sz val="8"/>
        <color theme="1"/>
        <rFont val="Arial Narrow"/>
        <family val="2"/>
      </rPr>
      <t xml:space="preserve">(milliards d'euros) </t>
    </r>
  </si>
  <si>
    <r>
      <t xml:space="preserve">Recettes ISF
</t>
    </r>
    <r>
      <rPr>
        <i/>
        <sz val="8"/>
        <color theme="1"/>
        <rFont val="Arial"/>
        <family val="2"/>
      </rPr>
      <t xml:space="preserve"> (milliards d'euros</t>
    </r>
    <r>
      <rPr>
        <sz val="11"/>
        <color theme="1"/>
        <rFont val="Calibri"/>
        <family val="2"/>
        <scheme val="minor"/>
      </rPr>
      <t>)</t>
    </r>
  </si>
  <si>
    <r>
      <t xml:space="preserve">Recettes IFI
</t>
    </r>
    <r>
      <rPr>
        <i/>
        <sz val="8"/>
        <color theme="1"/>
        <rFont val="Arial"/>
        <family val="2"/>
      </rPr>
      <t xml:space="preserve"> (milliards d'euros</t>
    </r>
    <r>
      <rPr>
        <sz val="11"/>
        <color theme="1"/>
        <rFont val="Calibri"/>
        <family val="2"/>
        <scheme val="minor"/>
      </rPr>
      <t>)</t>
    </r>
  </si>
  <si>
    <t>Taux d'imposition  ISF (Recettes totales/ patrimoine total des Français)</t>
  </si>
  <si>
    <t>PIB</t>
  </si>
  <si>
    <t>GDP deflator index
(base 100 = 2016)</t>
  </si>
  <si>
    <t>GDP  inflation rate</t>
  </si>
  <si>
    <t>PIB en euros courant de 2016</t>
  </si>
  <si>
    <t>Patrimoine des ménages /PIB</t>
  </si>
  <si>
    <t>Hypothèse 1 : croissance patrimoines 2018-2022 = 2000-2017</t>
  </si>
  <si>
    <t>Hypothèse 2: croissance patrimoines 2018-2022 = 1990-2017</t>
  </si>
  <si>
    <t>Hypothèse 3: croissance patrimoines 2018-2022 = 1990-2007</t>
  </si>
  <si>
    <t>Hypothèse 4: croissance patrimoines 2018-2022 = 2005-2017</t>
  </si>
  <si>
    <t>Tranformation de l'ISF en IFI (et hypothèse H1)</t>
  </si>
  <si>
    <t>Taux de croissance annuels</t>
  </si>
  <si>
    <t>2005-2016</t>
  </si>
  <si>
    <t>2000-2016</t>
  </si>
  <si>
    <t>1990-2016</t>
  </si>
  <si>
    <t>1990-2007</t>
  </si>
  <si>
    <t>Séries de données utilisées pour le graphique sur les recettes ISF (blog Le Monde décembre 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</si>
  <si>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</si>
  <si>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</si>
  <si>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</si>
  <si>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</si>
  <si>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Supplementary tables and figures from Chapter 14: Borders and property: the construction of equality</t>
  </si>
  <si>
    <t>(last revised: 28/1/2020)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</si>
</sst>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00"/>
    <numFmt numFmtId="166" formatCode="0.0"/>
    <numFmt numFmtId="167" formatCode="_-* #,##0\ _€_-;\-* #,##0\ _€_-;_-* &quot;-&quot;??\ _€_-;_-@_-"/>
    <numFmt numFmtId="168" formatCode="_-* #,##0.0\ _€_-;\-* #,##0.0\ _€_-;_-* &quot;-&quot;??\ _€_-;_-@_-"/>
    <numFmt numFmtId="169" formatCode="0.000%"/>
    <numFmt numFmtId="170" formatCode="_-* #,##0\ _€_-;\-* #,##0\ _€_-;_-* &quot;-&quot;?\ _€_-;_-@_-"/>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sz val="12"/>
      <color theme="1"/>
      <name val="Calibri"/>
      <family val="2"/>
      <scheme val="minor"/>
    </font>
    <font>
      <u/>
      <sz val="12"/>
      <color theme="10"/>
      <name val="Calibri"/>
      <family val="2"/>
      <scheme val="minor"/>
    </font>
    <font>
      <sz val="12"/>
      <color rgb="FF000000"/>
      <name val="Arial"/>
      <family val="2"/>
    </font>
    <font>
      <u/>
      <sz val="12"/>
      <color theme="10"/>
      <name val="Arial"/>
      <family val="2"/>
    </font>
    <font>
      <sz val="10"/>
      <color theme="1"/>
      <name val="Arial"/>
      <family val="2"/>
    </font>
    <font>
      <sz val="8"/>
      <color theme="1"/>
      <name val="Arial Narrow"/>
      <family val="2"/>
    </font>
    <font>
      <i/>
      <sz val="8"/>
      <color theme="1"/>
      <name val="Arial"/>
      <family val="2"/>
    </font>
    <font>
      <sz val="10"/>
      <color theme="1"/>
      <name val="Arial Narrow"/>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top/>
      <bottom/>
      <diagonal/>
    </border>
  </borders>
  <cellStyleXfs count="8">
    <xf numFmtId="0" fontId="0" fillId="0" borderId="0"/>
    <xf numFmtId="0" fontId="6" fillId="0" borderId="0"/>
    <xf numFmtId="0" fontId="6" fillId="0" borderId="0"/>
    <xf numFmtId="0" fontId="11" fillId="0" borderId="0"/>
    <xf numFmtId="0" fontId="12"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cellStyleXfs>
  <cellXfs count="176">
    <xf numFmtId="0" fontId="0" fillId="0" borderId="0" xfId="0"/>
    <xf numFmtId="0" fontId="4" fillId="0" borderId="0" xfId="0" applyFont="1"/>
    <xf numFmtId="0" fontId="5" fillId="0" borderId="0" xfId="0" applyFont="1"/>
    <xf numFmtId="0" fontId="4" fillId="0" borderId="3" xfId="0" applyFont="1" applyBorder="1" applyAlignment="1">
      <alignment horizontal="center"/>
    </xf>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3" xfId="0" applyNumberFormat="1" applyFont="1" applyBorder="1" applyAlignment="1">
      <alignment horizontal="center"/>
    </xf>
    <xf numFmtId="9" fontId="4"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4" fillId="0" borderId="2" xfId="0" applyFont="1" applyBorder="1" applyAlignment="1">
      <alignment horizontal="center"/>
    </xf>
    <xf numFmtId="0" fontId="4" fillId="0" borderId="0" xfId="0" applyFont="1" applyBorder="1" applyAlignment="1">
      <alignment horizontal="center" vertical="center" wrapText="1"/>
    </xf>
    <xf numFmtId="0" fontId="4" fillId="0" borderId="7" xfId="0" applyFont="1" applyBorder="1" applyAlignment="1"/>
    <xf numFmtId="0" fontId="4" fillId="0" borderId="0" xfId="0" applyFont="1" applyAlignment="1">
      <alignment horizontal="left"/>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9" fontId="4" fillId="0" borderId="9" xfId="0" applyNumberFormat="1" applyFont="1" applyBorder="1" applyAlignment="1">
      <alignment horizontal="center"/>
    </xf>
    <xf numFmtId="9" fontId="4" fillId="0" borderId="4" xfId="0" applyNumberFormat="1" applyFont="1" applyBorder="1" applyAlignment="1">
      <alignment horizont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11" xfId="0" applyNumberFormat="1" applyFont="1" applyBorder="1" applyAlignment="1">
      <alignment horizontal="center"/>
    </xf>
    <xf numFmtId="0" fontId="0" fillId="0" borderId="11" xfId="0" applyBorder="1"/>
    <xf numFmtId="9" fontId="4" fillId="0" borderId="10" xfId="0" applyNumberFormat="1" applyFont="1" applyBorder="1" applyAlignment="1">
      <alignment horizontal="center"/>
    </xf>
    <xf numFmtId="9" fontId="4"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5" fillId="0" borderId="0" xfId="0" applyFont="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xf>
    <xf numFmtId="9" fontId="0" fillId="0" borderId="5" xfId="0" applyNumberFormat="1" applyBorder="1"/>
    <xf numFmtId="0" fontId="4" fillId="0" borderId="4" xfId="0" applyFont="1" applyBorder="1" applyAlignment="1">
      <alignment horizontal="center"/>
    </xf>
    <xf numFmtId="0" fontId="0" fillId="0" borderId="4" xfId="0" applyBorder="1"/>
    <xf numFmtId="164" fontId="4" fillId="0" borderId="3" xfId="0" applyNumberFormat="1" applyFont="1" applyBorder="1" applyAlignment="1">
      <alignment horizontal="center"/>
    </xf>
    <xf numFmtId="10" fontId="4" fillId="0" borderId="3" xfId="0" applyNumberFormat="1" applyFont="1" applyBorder="1" applyAlignment="1">
      <alignment horizontal="center"/>
    </xf>
    <xf numFmtId="164" fontId="4" fillId="0" borderId="5" xfId="0" applyNumberFormat="1" applyFont="1" applyBorder="1" applyAlignment="1">
      <alignment horizontal="center"/>
    </xf>
    <xf numFmtId="164" fontId="0" fillId="0" borderId="0" xfId="0" applyNumberFormat="1"/>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9" fontId="10" fillId="0" borderId="3" xfId="0" applyNumberFormat="1"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10" xfId="0" applyFont="1" applyBorder="1" applyAlignment="1">
      <alignment horizontal="left"/>
    </xf>
    <xf numFmtId="9" fontId="10" fillId="0" borderId="5" xfId="0" applyNumberFormat="1" applyFont="1" applyBorder="1" applyAlignment="1">
      <alignment horizontal="center"/>
    </xf>
    <xf numFmtId="0" fontId="4" fillId="0" borderId="0" xfId="0" applyFont="1" applyBorder="1" applyAlignment="1">
      <alignment horizontal="left"/>
    </xf>
    <xf numFmtId="0" fontId="4" fillId="0" borderId="10" xfId="0" applyFont="1" applyBorder="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center" vertical="center"/>
    </xf>
    <xf numFmtId="164" fontId="10" fillId="0" borderId="0" xfId="0" applyNumberFormat="1" applyFont="1" applyAlignment="1">
      <alignment horizontal="center"/>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6" xfId="0" applyBorder="1"/>
    <xf numFmtId="0" fontId="4" fillId="0" borderId="15" xfId="0" applyFont="1" applyBorder="1" applyAlignment="1"/>
    <xf numFmtId="0" fontId="4" fillId="0" borderId="10" xfId="0" applyFont="1" applyBorder="1" applyAlignment="1"/>
    <xf numFmtId="0" fontId="4" fillId="0" borderId="9" xfId="0" applyFont="1" applyBorder="1" applyAlignment="1"/>
    <xf numFmtId="0" fontId="4" fillId="0" borderId="5"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xf numFmtId="9" fontId="0" fillId="0" borderId="3" xfId="0" applyNumberFormat="1" applyBorder="1"/>
    <xf numFmtId="0" fontId="4" fillId="0" borderId="6" xfId="0" applyFont="1" applyBorder="1" applyAlignment="1">
      <alignment horizontal="center" vertical="center" wrapText="1"/>
    </xf>
    <xf numFmtId="0" fontId="4" fillId="0" borderId="10" xfId="0" applyFont="1" applyBorder="1" applyAlignment="1">
      <alignment horizontal="left"/>
    </xf>
    <xf numFmtId="0" fontId="4" fillId="0" borderId="10" xfId="0" applyFont="1" applyBorder="1" applyAlignment="1">
      <alignment horizontal="center"/>
    </xf>
    <xf numFmtId="0" fontId="4" fillId="0" borderId="1" xfId="0" applyFont="1" applyBorder="1" applyAlignment="1">
      <alignment horizontal="center" vertical="center" wrapText="1"/>
    </xf>
    <xf numFmtId="0" fontId="11" fillId="0" borderId="0" xfId="3"/>
    <xf numFmtId="0" fontId="4" fillId="0" borderId="6" xfId="0" applyFont="1" applyBorder="1" applyAlignment="1">
      <alignment horizontal="center" vertical="center" wrapText="1"/>
    </xf>
    <xf numFmtId="0" fontId="4" fillId="0" borderId="2" xfId="0" applyFont="1" applyBorder="1" applyAlignment="1">
      <alignment horizontal="center"/>
    </xf>
    <xf numFmtId="0" fontId="4" fillId="0" borderId="7" xfId="0" applyFont="1" applyBorder="1" applyAlignment="1">
      <alignment horizontal="left"/>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vertical="center" wrapText="1"/>
    </xf>
    <xf numFmtId="0" fontId="4" fillId="0" borderId="0" xfId="3" applyFont="1"/>
    <xf numFmtId="0" fontId="4" fillId="0" borderId="0" xfId="3" applyFont="1" applyAlignment="1">
      <alignment horizontal="left"/>
    </xf>
    <xf numFmtId="0" fontId="4" fillId="0" borderId="0" xfId="3" applyFont="1" applyAlignment="1">
      <alignment horizontal="center"/>
    </xf>
    <xf numFmtId="166" fontId="4" fillId="0" borderId="0" xfId="3" applyNumberFormat="1" applyFont="1" applyAlignment="1">
      <alignment horizontal="center"/>
    </xf>
    <xf numFmtId="1" fontId="4" fillId="0" borderId="0" xfId="3" applyNumberFormat="1" applyFont="1" applyAlignment="1">
      <alignment horizontal="center"/>
    </xf>
    <xf numFmtId="1" fontId="13" fillId="0" borderId="0" xfId="3" applyNumberFormat="1" applyFont="1" applyAlignment="1">
      <alignment horizontal="center"/>
    </xf>
    <xf numFmtId="164" fontId="4" fillId="0" borderId="0" xfId="3" applyNumberFormat="1" applyFont="1" applyAlignment="1">
      <alignment horizontal="center"/>
    </xf>
    <xf numFmtId="165" fontId="4" fillId="0" borderId="0" xfId="3" applyNumberFormat="1" applyFont="1" applyAlignment="1">
      <alignment horizontal="center"/>
    </xf>
    <xf numFmtId="0" fontId="4" fillId="0" borderId="0" xfId="3" applyFont="1" applyAlignment="1"/>
    <xf numFmtId="164" fontId="4" fillId="0" borderId="0" xfId="3" applyNumberFormat="1" applyFont="1" applyAlignment="1"/>
    <xf numFmtId="165" fontId="4" fillId="0" borderId="0" xfId="3" applyNumberFormat="1" applyFont="1" applyAlignment="1"/>
    <xf numFmtId="0" fontId="14" fillId="0" borderId="0" xfId="4" applyFont="1" applyAlignment="1">
      <alignment horizontal="left"/>
    </xf>
    <xf numFmtId="0" fontId="7" fillId="2" borderId="0" xfId="4" applyFont="1" applyFill="1" applyAlignment="1">
      <alignment horizontal="left"/>
    </xf>
    <xf numFmtId="0" fontId="14" fillId="0" borderId="0" xfId="4" applyFont="1"/>
    <xf numFmtId="9" fontId="4" fillId="0" borderId="6" xfId="0" applyNumberFormat="1"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left" vertical="center"/>
    </xf>
    <xf numFmtId="0" fontId="4" fillId="0" borderId="0" xfId="0" applyNumberFormat="1" applyFont="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0" fontId="4" fillId="0" borderId="1" xfId="0" applyFont="1" applyBorder="1" applyAlignment="1">
      <alignment horizontal="left"/>
    </xf>
    <xf numFmtId="9" fontId="4" fillId="0" borderId="3" xfId="0" applyNumberFormat="1" applyFont="1" applyFill="1" applyBorder="1" applyAlignment="1">
      <alignment horizontal="center"/>
    </xf>
    <xf numFmtId="0" fontId="15" fillId="0" borderId="0" xfId="5" applyAlignment="1">
      <alignment wrapText="1"/>
    </xf>
    <xf numFmtId="0" fontId="15" fillId="0" borderId="0" xfId="5" applyAlignment="1">
      <alignment horizontal="center" vertical="center" wrapText="1"/>
    </xf>
    <xf numFmtId="0" fontId="15" fillId="0" borderId="0" xfId="5" applyBorder="1" applyAlignment="1">
      <alignment horizontal="center" vertical="center" wrapText="1"/>
    </xf>
    <xf numFmtId="0" fontId="15" fillId="0" borderId="0" xfId="5" applyBorder="1" applyAlignment="1">
      <alignment vertical="center" wrapText="1"/>
    </xf>
    <xf numFmtId="0" fontId="15" fillId="0" borderId="0" xfId="5" applyFill="1" applyBorder="1" applyAlignment="1">
      <alignment horizontal="center" vertical="center" wrapText="1"/>
    </xf>
    <xf numFmtId="0" fontId="15" fillId="0" borderId="0" xfId="5"/>
    <xf numFmtId="0" fontId="18" fillId="0" borderId="0" xfId="5" applyFont="1" applyAlignment="1">
      <alignment horizontal="center" vertical="center" wrapText="1"/>
    </xf>
    <xf numFmtId="0" fontId="15" fillId="0" borderId="0" xfId="5" applyNumberFormat="1"/>
    <xf numFmtId="167" fontId="0" fillId="0" borderId="0" xfId="6" applyNumberFormat="1" applyFont="1" applyAlignment="1">
      <alignment horizontal="center" vertical="center"/>
    </xf>
    <xf numFmtId="168" fontId="0" fillId="0" borderId="0" xfId="6" applyNumberFormat="1" applyFont="1" applyAlignment="1">
      <alignment horizontal="center" vertical="center"/>
    </xf>
    <xf numFmtId="169" fontId="0" fillId="0" borderId="0" xfId="7" applyNumberFormat="1" applyFont="1" applyAlignment="1">
      <alignment horizontal="center" vertical="center"/>
    </xf>
    <xf numFmtId="1" fontId="6" fillId="0" borderId="16" xfId="1" applyNumberFormat="1" applyFont="1" applyFill="1" applyBorder="1" applyAlignment="1">
      <alignment horizontal="center" vertical="center" wrapText="1"/>
    </xf>
    <xf numFmtId="164" fontId="0" fillId="0" borderId="0" xfId="7" applyNumberFormat="1" applyFont="1"/>
    <xf numFmtId="170" fontId="15" fillId="0" borderId="0" xfId="5" applyNumberFormat="1"/>
    <xf numFmtId="9" fontId="15" fillId="0" borderId="0" xfId="5" applyNumberFormat="1"/>
    <xf numFmtId="168" fontId="19" fillId="0" borderId="0" xfId="5" applyNumberFormat="1" applyFont="1" applyAlignment="1">
      <alignment vertical="center" wrapText="1"/>
    </xf>
    <xf numFmtId="169" fontId="19" fillId="0" borderId="0" xfId="5" applyNumberFormat="1" applyFont="1" applyAlignment="1">
      <alignment horizontal="center" vertical="center" wrapText="1"/>
    </xf>
    <xf numFmtId="1" fontId="15" fillId="0" borderId="0" xfId="5" applyNumberFormat="1" applyAlignment="1">
      <alignment horizontal="center" vertical="center"/>
    </xf>
    <xf numFmtId="0" fontId="3" fillId="0" borderId="0" xfId="0" applyFont="1"/>
    <xf numFmtId="0" fontId="2" fillId="0" borderId="0" xfId="0" applyFont="1"/>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8" xfId="0" applyFont="1" applyBorder="1" applyAlignment="1">
      <alignment horizontal="center" wrapText="1"/>
    </xf>
    <xf numFmtId="0" fontId="4" fillId="0" borderId="7"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xf>
    <xf numFmtId="0" fontId="4" fillId="0" borderId="4" xfId="0" applyFont="1" applyBorder="1" applyAlignment="1">
      <alignment horizontal="center" vertical="center" wrapText="1"/>
    </xf>
    <xf numFmtId="0" fontId="4" fillId="0" borderId="8" xfId="0" applyFont="1" applyBorder="1" applyAlignment="1">
      <alignment horizontal="left"/>
    </xf>
    <xf numFmtId="0" fontId="4" fillId="0" borderId="7" xfId="0" applyFont="1" applyBorder="1" applyAlignment="1">
      <alignment horizontal="left"/>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4" fillId="0" borderId="14" xfId="0" applyFont="1" applyBorder="1" applyAlignment="1">
      <alignment horizont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left"/>
    </xf>
    <xf numFmtId="0" fontId="4" fillId="0" borderId="10"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4" fillId="0" borderId="15" xfId="0" applyFont="1" applyBorder="1" applyAlignment="1">
      <alignment horizontal="left"/>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5" fillId="0" borderId="7" xfId="0" applyFont="1" applyBorder="1" applyAlignment="1">
      <alignment horizontal="center"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15" fillId="0" borderId="0" xfId="5" applyAlignment="1">
      <alignment horizontal="center" vertical="center" wrapText="1"/>
    </xf>
  </cellXfs>
  <cellStyles count="8">
    <cellStyle name="Lien hypertexte" xfId="4" builtinId="8"/>
    <cellStyle name="Milliers 2" xfId="6"/>
    <cellStyle name="Normal" xfId="0" builtinId="0"/>
    <cellStyle name="Normal 14" xfId="2"/>
    <cellStyle name="Normal 2" xfId="1"/>
    <cellStyle name="Normal 3" xfId="3"/>
    <cellStyle name="Normal 4" xfId="5"/>
    <cellStyle name="Pourcentage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2.xml"/><Relationship Id="rId39" Type="http://schemas.openxmlformats.org/officeDocument/2006/relationships/externalLink" Target="externalLinks/externalLink1.xml"/><Relationship Id="rId3" Type="http://schemas.openxmlformats.org/officeDocument/2006/relationships/chartsheet" Target="chartsheets/sheet2.xml"/><Relationship Id="rId21" Type="http://schemas.openxmlformats.org/officeDocument/2006/relationships/chartsheet" Target="chartsheets/sheet20.xml"/><Relationship Id="rId34" Type="http://schemas.openxmlformats.org/officeDocument/2006/relationships/worksheet" Target="worksheets/sheet10.xml"/><Relationship Id="rId42" Type="http://schemas.openxmlformats.org/officeDocument/2006/relationships/externalLink" Target="externalLinks/externalLink4.xml"/><Relationship Id="rId47"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worksheet" Target="worksheets/sheet9.xml"/><Relationship Id="rId38" Type="http://schemas.openxmlformats.org/officeDocument/2006/relationships/worksheet" Target="worksheets/sheet14.xml"/><Relationship Id="rId46"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5.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worksheet" Target="worksheets/sheet8.xml"/><Relationship Id="rId37" Type="http://schemas.openxmlformats.org/officeDocument/2006/relationships/worksheet" Target="worksheets/sheet13.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4.xml"/><Relationship Id="rId36" Type="http://schemas.openxmlformats.org/officeDocument/2006/relationships/worksheet" Target="worksheets/sheet12.xml"/><Relationship Id="rId49"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7.xml"/><Relationship Id="rId44" Type="http://schemas.openxmlformats.org/officeDocument/2006/relationships/externalLink" Target="externalLinks/externalLink6.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worksheet" Target="worksheets/sheet3.xml"/><Relationship Id="rId30" Type="http://schemas.openxmlformats.org/officeDocument/2006/relationships/worksheet" Target="worksheets/sheet6.xml"/><Relationship Id="rId35" Type="http://schemas.openxmlformats.org/officeDocument/2006/relationships/worksheet" Target="worksheets/sheet11.xml"/><Relationship Id="rId43" Type="http://schemas.openxmlformats.org/officeDocument/2006/relationships/externalLink" Target="externalLinks/externalLink5.xml"/><Relationship Id="rId48" Type="http://schemas.openxmlformats.org/officeDocument/2006/relationships/sharedStrings" Target="sharedStrings.xml"/><Relationship Id="rId8" Type="http://schemas.openxmlformats.org/officeDocument/2006/relationships/chartsheet" Target="chart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panose="020B0604020202020204" pitchFamily="34" charset="0"/>
                <a:cs typeface="Arial" panose="020B0604020202020204" pitchFamily="34" charset="0"/>
              </a:rPr>
              <a:t>Social cleavages and political conflict in France </a:t>
            </a:r>
            <a:r>
              <a:rPr lang="fr-FR" sz="2000" b="0" i="0" baseline="0">
                <a:effectLst/>
                <a:latin typeface="Arial Narrow" panose="020B0606020202030204" pitchFamily="34" charset="0"/>
                <a:cs typeface="Arial" panose="020B0604020202020204" pitchFamily="34" charset="0"/>
              </a:rPr>
              <a:t>(variants)</a:t>
            </a:r>
            <a:endParaRPr lang="fr-FR" sz="2000" b="0" baseline="0">
              <a:latin typeface="Arial Narrow" panose="020B0606020202030204" pitchFamily="34" charset="0"/>
              <a:cs typeface="Arial" panose="020B0604020202020204" pitchFamily="34" charset="0"/>
            </a:endParaRPr>
          </a:p>
        </c:rich>
      </c:tx>
      <c:layout>
        <c:manualLayout>
          <c:xMode val="edge"/>
          <c:yMode val="edge"/>
          <c:x val="0.13825798337707787"/>
          <c:y val="2.2425906554935926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Difference between % vote for left parties among top 10% education voters and bottom 90% education voters (before controls)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DataG14.1!$B$6:$B$71</c:f>
              <c:numCache>
                <c:formatCode>0%</c:formatCode>
                <c:ptCount val="66"/>
                <c:pt idx="1">
                  <c:v>-0.13522129837336494</c:v>
                </c:pt>
                <c:pt idx="3">
                  <c:v>-0.14523681870467178</c:v>
                </c:pt>
                <c:pt idx="7">
                  <c:v>-0.14037505258830457</c:v>
                </c:pt>
                <c:pt idx="10">
                  <c:v>-7.0592972953057609E-2</c:v>
                </c:pt>
                <c:pt idx="12">
                  <c:v>-9.2889842586353188E-2</c:v>
                </c:pt>
                <c:pt idx="18">
                  <c:v>-4.2147935952964795E-2</c:v>
                </c:pt>
                <c:pt idx="19">
                  <c:v>-1.8057982981227599E-3</c:v>
                </c:pt>
                <c:pt idx="23">
                  <c:v>-1.7165073737302101E-2</c:v>
                </c:pt>
                <c:pt idx="26">
                  <c:v>-2.1298170799642635E-2</c:v>
                </c:pt>
                <c:pt idx="31">
                  <c:v>-2.3879683999072907E-2</c:v>
                </c:pt>
                <c:pt idx="33">
                  <c:v>-4.0685331553834456E-2</c:v>
                </c:pt>
                <c:pt idx="38">
                  <c:v>7.5330563710883702E-2</c:v>
                </c:pt>
                <c:pt idx="40">
                  <c:v>5.0120077830627219E-2</c:v>
                </c:pt>
                <c:pt idx="42">
                  <c:v>5.405683942710246E-2</c:v>
                </c:pt>
                <c:pt idx="47">
                  <c:v>9.3483255671668042E-2</c:v>
                </c:pt>
                <c:pt idx="52">
                  <c:v>0.12120721034714195</c:v>
                </c:pt>
                <c:pt idx="57">
                  <c:v>8.7698203210765033E-2</c:v>
                </c:pt>
                <c:pt idx="6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top 10% income voters and bottom 90% income voters (before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Difference between % vote for left parties among top 10% wealth voters and bottom 90% wealth voters (before controls)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DataG14.1!$C$6:$C$71</c:f>
              <c:numCache>
                <c:formatCode>0%</c:formatCode>
                <c:ptCount val="66"/>
                <c:pt idx="1">
                  <c:v>-0.17038363897407072</c:v>
                </c:pt>
                <c:pt idx="3">
                  <c:v>-0.18039915930537756</c:v>
                </c:pt>
                <c:pt idx="7">
                  <c:v>-0.18007430596638307</c:v>
                </c:pt>
                <c:pt idx="10">
                  <c:v>-0.1055461645338743</c:v>
                </c:pt>
                <c:pt idx="12">
                  <c:v>-0.13201814138514223</c:v>
                </c:pt>
                <c:pt idx="18">
                  <c:v>-7.1904163412003633E-2</c:v>
                </c:pt>
                <c:pt idx="19">
                  <c:v>-3.0216880378975457E-2</c:v>
                </c:pt>
                <c:pt idx="23">
                  <c:v>-4.2490221389422642E-2</c:v>
                </c:pt>
                <c:pt idx="26">
                  <c:v>-4.6623318451763179E-2</c:v>
                </c:pt>
                <c:pt idx="31">
                  <c:v>-5.0824532274685877E-2</c:v>
                </c:pt>
                <c:pt idx="33">
                  <c:v>-6.6950830065016342E-2</c:v>
                </c:pt>
                <c:pt idx="38">
                  <c:v>4.417433577759626E-2</c:v>
                </c:pt>
                <c:pt idx="40">
                  <c:v>2.3718812225758765E-2</c:v>
                </c:pt>
                <c:pt idx="42">
                  <c:v>2.7655573822234006E-2</c:v>
                </c:pt>
                <c:pt idx="47">
                  <c:v>6.8880924685753658E-2</c:v>
                </c:pt>
                <c:pt idx="52">
                  <c:v>9.4311293640481936E-2</c:v>
                </c:pt>
                <c:pt idx="57">
                  <c:v>5.7350602039431542E-2</c:v>
                </c:pt>
                <c:pt idx="62">
                  <c:v>9.1320567423806204E-2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DataG14.1!$D$6:$D$71</c:f>
              <c:numCache>
                <c:formatCode>0%</c:formatCode>
                <c:ptCount val="66"/>
                <c:pt idx="1">
                  <c:v>-0.10005895777265916</c:v>
                </c:pt>
                <c:pt idx="3">
                  <c:v>-0.11007447810396601</c:v>
                </c:pt>
                <c:pt idx="7">
                  <c:v>-0.1006757992102261</c:v>
                </c:pt>
                <c:pt idx="10">
                  <c:v>-3.5639781372240907E-2</c:v>
                </c:pt>
                <c:pt idx="12">
                  <c:v>-5.3761543787564134E-2</c:v>
                </c:pt>
                <c:pt idx="18">
                  <c:v>-1.239170849392596E-2</c:v>
                </c:pt>
                <c:pt idx="19">
                  <c:v>2.6605283782729937E-2</c:v>
                </c:pt>
                <c:pt idx="23">
                  <c:v>8.1600739148184401E-3</c:v>
                </c:pt>
                <c:pt idx="26">
                  <c:v>4.0269768524779058E-3</c:v>
                </c:pt>
                <c:pt idx="31">
                  <c:v>3.0651642765400604E-3</c:v>
                </c:pt>
                <c:pt idx="33">
                  <c:v>-1.4419833042652569E-2</c:v>
                </c:pt>
                <c:pt idx="38">
                  <c:v>0.10648679164417114</c:v>
                </c:pt>
                <c:pt idx="40">
                  <c:v>7.6521343435495673E-2</c:v>
                </c:pt>
                <c:pt idx="42">
                  <c:v>8.0458105031970914E-2</c:v>
                </c:pt>
                <c:pt idx="47">
                  <c:v>0.11808558665758243</c:v>
                </c:pt>
                <c:pt idx="52">
                  <c:v>0.14810312705380196</c:v>
                </c:pt>
                <c:pt idx="57">
                  <c:v>0.11804580438209854</c:v>
                </c:pt>
                <c:pt idx="62">
                  <c:v>0.14511240083712626</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429958176"/>
        <c:axId val="429964056"/>
      </c:lineChart>
      <c:catAx>
        <c:axId val="4299581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64056"/>
        <c:crossesAt val="0"/>
        <c:auto val="1"/>
        <c:lblAlgn val="ctr"/>
        <c:lblOffset val="100"/>
        <c:tickLblSkip val="5"/>
        <c:tickMarkSkip val="5"/>
        <c:noMultiLvlLbl val="0"/>
      </c:catAx>
      <c:valAx>
        <c:axId val="429964056"/>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29958176"/>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left shift of female vote, 1945-2020</a:t>
            </a:r>
            <a:endParaRPr lang="fr-FR" sz="2000" b="0" baseline="0">
              <a:latin typeface="Arial Narrow" panose="020B0606020202030204" pitchFamily="34" charset="0"/>
              <a:cs typeface="Arial" panose="020B0604020202020204" pitchFamily="34" charset="0"/>
            </a:endParaRPr>
          </a:p>
        </c:rich>
      </c:tx>
      <c:layout>
        <c:manualLayout>
          <c:xMode val="edge"/>
          <c:yMode val="edge"/>
          <c:x val="0.25203461327133941"/>
          <c:y val="2.2426915850674279E-3"/>
        </c:manualLayout>
      </c:layout>
      <c:overlay val="0"/>
      <c:spPr>
        <a:noFill/>
        <a:ln w="25400">
          <a:noFill/>
        </a:ln>
      </c:spPr>
    </c:title>
    <c:autoTitleDeleted val="0"/>
    <c:plotArea>
      <c:layout>
        <c:manualLayout>
          <c:layoutTarget val="inner"/>
          <c:xMode val="edge"/>
          <c:yMode val="edge"/>
          <c:x val="8.0705265556329661E-2"/>
          <c:y val="6.817310048693169E-2"/>
          <c:w val="0.881790953490451"/>
          <c:h val="0.73956541968113243"/>
        </c:manualLayout>
      </c:layout>
      <c:lineChart>
        <c:grouping val="standard"/>
        <c:varyColors val="0"/>
        <c:ser>
          <c:idx val="1"/>
          <c:order val="0"/>
          <c:tx>
            <c:v>United States: difference between % vote Democrat among women and men</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DataG14.2!$O$6:$O$81</c:f>
              <c:numCache>
                <c:formatCode>0%</c:formatCode>
                <c:ptCount val="76"/>
                <c:pt idx="3">
                  <c:v>-2.1429169147715865E-2</c:v>
                </c:pt>
                <c:pt idx="7">
                  <c:v>-2.1429169147715865E-2</c:v>
                </c:pt>
                <c:pt idx="11">
                  <c:v>-6.2717333569231454E-2</c:v>
                </c:pt>
                <c:pt idx="15">
                  <c:v>-5.3617082008792755E-2</c:v>
                </c:pt>
                <c:pt idx="19">
                  <c:v>4.0218662861554219E-2</c:v>
                </c:pt>
                <c:pt idx="23">
                  <c:v>1.9082809721584534E-2</c:v>
                </c:pt>
                <c:pt idx="27">
                  <c:v>6.7893123969995389E-2</c:v>
                </c:pt>
                <c:pt idx="31">
                  <c:v>4.2491418168097282E-2</c:v>
                </c:pt>
                <c:pt idx="35">
                  <c:v>7.6411472887520593E-2</c:v>
                </c:pt>
                <c:pt idx="39">
                  <c:v>7.5463720858611943E-2</c:v>
                </c:pt>
                <c:pt idx="43">
                  <c:v>6.4531135184079325E-2</c:v>
                </c:pt>
                <c:pt idx="47">
                  <c:v>6.4157547886034519E-2</c:v>
                </c:pt>
                <c:pt idx="51">
                  <c:v>6.8684478900632243E-2</c:v>
                </c:pt>
                <c:pt idx="55">
                  <c:v>9.1165651510916573E-2</c:v>
                </c:pt>
                <c:pt idx="59">
                  <c:v>6.789792440364649E-2</c:v>
                </c:pt>
                <c:pt idx="63">
                  <c:v>5.1210868149631994E-2</c:v>
                </c:pt>
                <c:pt idx="67">
                  <c:v>5.2087351382437072E-2</c:v>
                </c:pt>
                <c:pt idx="71">
                  <c:v>0.13</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DataG14.2!$P$6:$P$81</c:f>
              <c:numCache>
                <c:formatCode>0%</c:formatCode>
                <c:ptCount val="76"/>
                <c:pt idx="11">
                  <c:v>-0.14646200835704803</c:v>
                </c:pt>
                <c:pt idx="13">
                  <c:v>-0.14520442485809326</c:v>
                </c:pt>
                <c:pt idx="17">
                  <c:v>-0.13476443290710449</c:v>
                </c:pt>
                <c:pt idx="20">
                  <c:v>-0.14401795401841197</c:v>
                </c:pt>
                <c:pt idx="22">
                  <c:v>-8.3922380877881217E-2</c:v>
                </c:pt>
                <c:pt idx="24">
                  <c:v>-0.12</c:v>
                </c:pt>
                <c:pt idx="28">
                  <c:v>-7.3247194290161133E-2</c:v>
                </c:pt>
                <c:pt idx="29">
                  <c:v>-9.6435457468032837E-2</c:v>
                </c:pt>
                <c:pt idx="33">
                  <c:v>-6.3370499999999996E-2</c:v>
                </c:pt>
                <c:pt idx="36">
                  <c:v>-7.0000000000000062E-2</c:v>
                </c:pt>
                <c:pt idx="41">
                  <c:v>-2.1458029747009201E-2</c:v>
                </c:pt>
                <c:pt idx="43">
                  <c:v>1.1541068553924561E-2</c:v>
                </c:pt>
                <c:pt idx="48">
                  <c:v>-7.7021420001983643E-3</c:v>
                </c:pt>
                <c:pt idx="50">
                  <c:v>-3.0770741403102875E-2</c:v>
                </c:pt>
                <c:pt idx="52">
                  <c:v>-7.1627497673034668E-3</c:v>
                </c:pt>
                <c:pt idx="57">
                  <c:v>-2.0024478435516357E-3</c:v>
                </c:pt>
                <c:pt idx="62">
                  <c:v>-8.7168216705322266E-3</c:v>
                </c:pt>
                <c:pt idx="67">
                  <c:v>1.4672458171844482E-2</c:v>
                </c:pt>
                <c:pt idx="72">
                  <c:v>2.0000000000000018E-2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DataG14.2!$N$6:$N$81</c:f>
              <c:numCache>
                <c:formatCode>0%</c:formatCode>
                <c:ptCount val="76"/>
                <c:pt idx="10">
                  <c:v>-0.10852126824108131</c:v>
                </c:pt>
                <c:pt idx="14">
                  <c:v>-0.10322648446012865</c:v>
                </c:pt>
                <c:pt idx="19">
                  <c:v>-3.6277220164561017E-2</c:v>
                </c:pt>
                <c:pt idx="21">
                  <c:v>-5.2582814747727524E-2</c:v>
                </c:pt>
                <c:pt idx="25">
                  <c:v>-1.6105491348971129E-2</c:v>
                </c:pt>
                <c:pt idx="29">
                  <c:v>-3.4954111569400592E-2</c:v>
                </c:pt>
                <c:pt idx="34">
                  <c:v>-2.2839877831759309E-2</c:v>
                </c:pt>
                <c:pt idx="38">
                  <c:v>-3.0941595615101607E-2</c:v>
                </c:pt>
                <c:pt idx="42">
                  <c:v>-3.2583956642887386E-2</c:v>
                </c:pt>
                <c:pt idx="47">
                  <c:v>-4.0069606822605228E-2</c:v>
                </c:pt>
                <c:pt idx="52">
                  <c:v>-3.2485241837823031E-2</c:v>
                </c:pt>
                <c:pt idx="56">
                  <c:v>-2.0731586020023771E-2</c:v>
                </c:pt>
                <c:pt idx="60">
                  <c:v>-8.41617474676375E-3</c:v>
                </c:pt>
                <c:pt idx="65">
                  <c:v>2.1932943971879164E-3</c:v>
                </c:pt>
                <c:pt idx="70">
                  <c:v>4.2776750105455071E-3</c:v>
                </c:pt>
                <c:pt idx="72">
                  <c:v>3.8003627383060359E-2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350203568"/>
        <c:axId val="350203176"/>
      </c:lineChart>
      <c:catAx>
        <c:axId val="3502035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0203176"/>
        <c:crossesAt val="0"/>
        <c:auto val="1"/>
        <c:lblAlgn val="ctr"/>
        <c:lblOffset val="100"/>
        <c:tickLblSkip val="5"/>
        <c:tickMarkSkip val="5"/>
        <c:noMultiLvlLbl val="0"/>
      </c:catAx>
      <c:valAx>
        <c:axId val="350203176"/>
        <c:scaling>
          <c:orientation val="minMax"/>
          <c:max val="0.18000000000000002"/>
          <c:min val="-0.16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020356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7.9848983694358902E-2"/>
          <c:w val="0.58999680398582366"/>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Youth vote, 1945-2020: left-leaning but volatile</a:t>
            </a:r>
            <a:endParaRPr lang="fr-FR" sz="2000" b="0" baseline="0">
              <a:latin typeface="Arial Narrow" panose="020B0606020202030204" pitchFamily="34" charset="0"/>
              <a:cs typeface="Arial" panose="020B0604020202020204" pitchFamily="34" charset="0"/>
            </a:endParaRPr>
          </a:p>
        </c:rich>
      </c:tx>
      <c:layout>
        <c:manualLayout>
          <c:xMode val="edge"/>
          <c:yMode val="edge"/>
          <c:x val="0.21589338446956019"/>
          <c:y val="2.2426915850674279E-3"/>
        </c:manualLayout>
      </c:layout>
      <c:overlay val="0"/>
      <c:spPr>
        <a:noFill/>
        <a:ln w="25400">
          <a:noFill/>
        </a:ln>
      </c:spPr>
    </c:title>
    <c:autoTitleDeleted val="0"/>
    <c:plotArea>
      <c:layout>
        <c:manualLayout>
          <c:layoutTarget val="inner"/>
          <c:xMode val="edge"/>
          <c:yMode val="edge"/>
          <c:x val="8.2095315650180925E-2"/>
          <c:y val="6.817310048693169E-2"/>
          <c:w val="0.881790953490451"/>
          <c:h val="0.73956541968113243"/>
        </c:manualLayout>
      </c:layout>
      <c:lineChart>
        <c:grouping val="standard"/>
        <c:varyColors val="0"/>
        <c:ser>
          <c:idx val="1"/>
          <c:order val="0"/>
          <c:tx>
            <c:v>United States: difference between % vote Democrats among young voters (18-34-year-old) and old voters (65-year-old and over)</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DataG14.2!$R$6:$R$81</c:f>
              <c:numCache>
                <c:formatCode>0%</c:formatCode>
                <c:ptCount val="76"/>
                <c:pt idx="3">
                  <c:v>0.10462593239119133</c:v>
                </c:pt>
                <c:pt idx="7">
                  <c:v>9.0508133363666504E-2</c:v>
                </c:pt>
                <c:pt idx="11">
                  <c:v>2.7760837014101182E-2</c:v>
                </c:pt>
                <c:pt idx="15">
                  <c:v>0.12738559745395153</c:v>
                </c:pt>
                <c:pt idx="19">
                  <c:v>0.17572805885653386</c:v>
                </c:pt>
                <c:pt idx="23">
                  <c:v>3.0810947296351525E-2</c:v>
                </c:pt>
                <c:pt idx="27">
                  <c:v>0.12131029197255619</c:v>
                </c:pt>
                <c:pt idx="31">
                  <c:v>3.9455795532605219E-2</c:v>
                </c:pt>
                <c:pt idx="35">
                  <c:v>-4.9557006155978127E-2</c:v>
                </c:pt>
                <c:pt idx="39">
                  <c:v>-1.7948959575065024E-2</c:v>
                </c:pt>
                <c:pt idx="43">
                  <c:v>3.5610116764166061E-3</c:v>
                </c:pt>
                <c:pt idx="47">
                  <c:v>2.230476790360399E-2</c:v>
                </c:pt>
                <c:pt idx="51">
                  <c:v>8.3417795629750421E-3</c:v>
                </c:pt>
                <c:pt idx="55">
                  <c:v>-1.5766287907778564E-4</c:v>
                </c:pt>
                <c:pt idx="59">
                  <c:v>8.8621750885109235E-2</c:v>
                </c:pt>
                <c:pt idx="63">
                  <c:v>0.20515267619192268</c:v>
                </c:pt>
                <c:pt idx="67">
                  <c:v>0.1546505226337373</c:v>
                </c:pt>
                <c:pt idx="71">
                  <c:v>0.1</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DataG14.2!$S$6:$S$81</c:f>
              <c:numCache>
                <c:formatCode>0%</c:formatCode>
                <c:ptCount val="76"/>
                <c:pt idx="11">
                  <c:v>0.12807009853148843</c:v>
                </c:pt>
                <c:pt idx="13">
                  <c:v>7.317422782133251E-2</c:v>
                </c:pt>
                <c:pt idx="17">
                  <c:v>6.2074631452560425E-2</c:v>
                </c:pt>
                <c:pt idx="20">
                  <c:v>8.9015411746686951E-2</c:v>
                </c:pt>
                <c:pt idx="22">
                  <c:v>9.6243365068909029E-2</c:v>
                </c:pt>
                <c:pt idx="28">
                  <c:v>0.28782294915128837</c:v>
                </c:pt>
                <c:pt idx="29">
                  <c:v>0.25569703632390861</c:v>
                </c:pt>
                <c:pt idx="33">
                  <c:v>0.29926204016280217</c:v>
                </c:pt>
                <c:pt idx="36">
                  <c:v>0.22999999999999998</c:v>
                </c:pt>
                <c:pt idx="41">
                  <c:v>0.14560212694159502</c:v>
                </c:pt>
                <c:pt idx="43">
                  <c:v>0.15652658664461272</c:v>
                </c:pt>
                <c:pt idx="48">
                  <c:v>9.5157112106837471E-2</c:v>
                </c:pt>
                <c:pt idx="50">
                  <c:v>0.10615043446809619</c:v>
                </c:pt>
                <c:pt idx="52">
                  <c:v>0.15668960341088622</c:v>
                </c:pt>
                <c:pt idx="57">
                  <c:v>0.18326555012084877</c:v>
                </c:pt>
                <c:pt idx="62">
                  <c:v>0.22020546263846652</c:v>
                </c:pt>
                <c:pt idx="67">
                  <c:v>9.6417113423432454E-2</c:v>
                </c:pt>
                <c:pt idx="72">
                  <c:v>0.13500000000000001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DataG14.2!$Q$6:$Q$81</c:f>
              <c:numCache>
                <c:formatCode>0%</c:formatCode>
                <c:ptCount val="76"/>
                <c:pt idx="10">
                  <c:v>4.6714331317698476E-3</c:v>
                </c:pt>
                <c:pt idx="14">
                  <c:v>8.6132931862601403E-2</c:v>
                </c:pt>
                <c:pt idx="19">
                  <c:v>9.3400600853339774E-2</c:v>
                </c:pt>
                <c:pt idx="21">
                  <c:v>0.12236667935128946</c:v>
                </c:pt>
                <c:pt idx="25">
                  <c:v>0.13585031585127882</c:v>
                </c:pt>
                <c:pt idx="29">
                  <c:v>0.14701996616872565</c:v>
                </c:pt>
                <c:pt idx="34">
                  <c:v>7.8046147265387292E-2</c:v>
                </c:pt>
                <c:pt idx="38">
                  <c:v>7.3509801023141655E-2</c:v>
                </c:pt>
                <c:pt idx="42">
                  <c:v>0.10150842984257144</c:v>
                </c:pt>
                <c:pt idx="47">
                  <c:v>5.5734605984127855E-2</c:v>
                </c:pt>
                <c:pt idx="52">
                  <c:v>0.11909385894910682</c:v>
                </c:pt>
                <c:pt idx="56">
                  <c:v>0.16257895560551422</c:v>
                </c:pt>
                <c:pt idx="60">
                  <c:v>0.18248274049299004</c:v>
                </c:pt>
                <c:pt idx="65">
                  <c:v>0.16606504709578668</c:v>
                </c:pt>
                <c:pt idx="70">
                  <c:v>0.2967633029073608</c:v>
                </c:pt>
                <c:pt idx="72">
                  <c:v>0.38573446408655832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350204352"/>
        <c:axId val="352521072"/>
      </c:lineChart>
      <c:catAx>
        <c:axId val="3502043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2521072"/>
        <c:crossesAt val="0"/>
        <c:auto val="1"/>
        <c:lblAlgn val="ctr"/>
        <c:lblOffset val="100"/>
        <c:tickLblSkip val="5"/>
        <c:tickMarkSkip val="5"/>
        <c:noMultiLvlLbl val="0"/>
      </c:catAx>
      <c:valAx>
        <c:axId val="352521072"/>
        <c:scaling>
          <c:orientation val="minMax"/>
          <c:max val="0.46"/>
          <c:min val="-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0204352"/>
        <c:crosses val="autoZero"/>
        <c:crossBetween val="midCat"/>
        <c:majorUnit val="5.000000000000001E-2"/>
        <c:min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1830035528294572"/>
          <c:y val="7.7593683739464903E-2"/>
          <c:w val="0.62057784374117542"/>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Left vote and education in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19613929982750775"/>
          <c:y val="2.2465708831051045E-3"/>
        </c:manualLayout>
      </c:layout>
      <c:overlay val="0"/>
      <c:spPr>
        <a:noFill/>
        <a:ln w="25400">
          <a:noFill/>
        </a:ln>
      </c:spPr>
    </c:title>
    <c:autoTitleDeleted val="0"/>
    <c:plotArea>
      <c:layout>
        <c:manualLayout>
          <c:layoutTarget val="inner"/>
          <c:xMode val="edge"/>
          <c:yMode val="edge"/>
          <c:x val="8.0705271216097996E-2"/>
          <c:y val="5.8919392232016719E-2"/>
          <c:w val="0.881790953490451"/>
          <c:h val="0.74430529908552134"/>
        </c:manualLayout>
      </c:layout>
      <c:lineChart>
        <c:grouping val="standard"/>
        <c:varyColors val="0"/>
        <c:ser>
          <c:idx val="6"/>
          <c:order val="0"/>
          <c:tx>
            <c:v>Difference between % vote for left parties among university graduates and non-university graduates</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After controls for age, sex, family situation</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After controls for age, sex, family situation, income, wealth</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3"/>
          <c:order val="3"/>
          <c:tx>
            <c:v>After controls for age, sex, family sit., income, wealth, father's occupation</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DataG14.11!$AH$6:$AH$71</c:f>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extLst xmlns:c15="http://schemas.microsoft.com/office/drawing/2012/char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352525384"/>
        <c:axId val="352524600"/>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3525253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352524600"/>
        <c:crossesAt val="0"/>
        <c:auto val="1"/>
        <c:lblAlgn val="ctr"/>
        <c:lblOffset val="100"/>
        <c:tickLblSkip val="5"/>
        <c:tickMarkSkip val="5"/>
        <c:noMultiLvlLbl val="0"/>
      </c:catAx>
      <c:valAx>
        <c:axId val="352524600"/>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2525384"/>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262204724409449"/>
          <c:y val="0.50839335003157526"/>
          <c:w val="0.75479724409448812"/>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Left vote and education in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19613929982750775"/>
          <c:y val="2.2465708831051045E-3"/>
        </c:manualLayout>
      </c:layout>
      <c:overlay val="0"/>
      <c:spPr>
        <a:noFill/>
        <a:ln w="25400">
          <a:noFill/>
        </a:ln>
      </c:spPr>
    </c:title>
    <c:autoTitleDeleted val="0"/>
    <c:plotArea>
      <c:layout>
        <c:manualLayout>
          <c:layoutTarget val="inner"/>
          <c:xMode val="edge"/>
          <c:yMode val="edge"/>
          <c:x val="8.0705271216097996E-2"/>
          <c:y val="5.8919392232016719E-2"/>
          <c:w val="0.881790953490451"/>
          <c:h val="0.74430529908552134"/>
        </c:manualLayout>
      </c:layout>
      <c:lineChart>
        <c:grouping val="standard"/>
        <c:varyColors val="0"/>
        <c:ser>
          <c:idx val="6"/>
          <c:order val="0"/>
          <c:tx>
            <c:v>Difference between % vote for left parties among university graduates and non-university graduates</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DataG14.11!$AL$7:$AL$72</c:f>
              <c:numCache>
                <c:formatCode>General</c:formatCode>
                <c:ptCount val="66"/>
                <c:pt idx="0" formatCode="0.0%">
                  <c:v>-0.13522129837336494</c:v>
                </c:pt>
                <c:pt idx="2" formatCode="0.0%">
                  <c:v>-0.14523681870467178</c:v>
                </c:pt>
                <c:pt idx="6" formatCode="0.0%">
                  <c:v>-0.14037505258830457</c:v>
                </c:pt>
                <c:pt idx="9" formatCode="0.0%">
                  <c:v>-7.0592972953057609E-2</c:v>
                </c:pt>
                <c:pt idx="11" formatCode="0.0%">
                  <c:v>-9.2889842586353188E-2</c:v>
                </c:pt>
                <c:pt idx="17" formatCode="0.0%">
                  <c:v>-4.2147935952964795E-2</c:v>
                </c:pt>
                <c:pt idx="18" formatCode="0.0%">
                  <c:v>-1.8057982981227599E-3</c:v>
                </c:pt>
                <c:pt idx="22" formatCode="0.0%">
                  <c:v>-1.7165073737302101E-2</c:v>
                </c:pt>
                <c:pt idx="25" formatCode="0.0%">
                  <c:v>-2.1298170799642635E-2</c:v>
                </c:pt>
                <c:pt idx="30" formatCode="0.0%">
                  <c:v>-2.3879683999072907E-2</c:v>
                </c:pt>
                <c:pt idx="32" formatCode="0.0%">
                  <c:v>-4.0685331553834456E-2</c:v>
                </c:pt>
                <c:pt idx="37" formatCode="0.0%">
                  <c:v>7.5330563710883702E-2</c:v>
                </c:pt>
                <c:pt idx="39" formatCode="0.0%">
                  <c:v>5.0120077830627219E-2</c:v>
                </c:pt>
                <c:pt idx="41" formatCode="0.0%">
                  <c:v>5.405683942710246E-2</c:v>
                </c:pt>
                <c:pt idx="46" formatCode="0.0%">
                  <c:v>9.3483255671668042E-2</c:v>
                </c:pt>
                <c:pt idx="51" formatCode="0.0%">
                  <c:v>0.12120721034714195</c:v>
                </c:pt>
                <c:pt idx="56" formatCode="0.0%">
                  <c:v>8.7698203210765033E-2</c:v>
                </c:pt>
                <c:pt idx="61" formatCode="0.0%">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After controls for age, sex, family situation</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DataG14.11!$AQ$6:$AQ$71</c:f>
              <c:numCache>
                <c:formatCode>0%</c:formatCode>
                <c:ptCount val="66"/>
                <c:pt idx="1">
                  <c:v>-0.1773381533151773</c:v>
                </c:pt>
                <c:pt idx="3">
                  <c:v>-0.17177524768697061</c:v>
                </c:pt>
                <c:pt idx="7">
                  <c:v>-0.15373990217103656</c:v>
                </c:pt>
                <c:pt idx="10">
                  <c:v>-8.5933345570136793E-2</c:v>
                </c:pt>
                <c:pt idx="12">
                  <c:v>-0.10196828216362486</c:v>
                </c:pt>
                <c:pt idx="18">
                  <c:v>-8.9820791182434079E-2</c:v>
                </c:pt>
                <c:pt idx="19">
                  <c:v>-4.9644087034812927E-2</c:v>
                </c:pt>
                <c:pt idx="23">
                  <c:v>-7.1138774198992949E-2</c:v>
                </c:pt>
                <c:pt idx="31">
                  <c:v>-4.5235565052878554E-2</c:v>
                </c:pt>
                <c:pt idx="33">
                  <c:v>-6.3177548365006275E-2</c:v>
                </c:pt>
                <c:pt idx="38">
                  <c:v>5.7995972144150469E-2</c:v>
                </c:pt>
                <c:pt idx="40">
                  <c:v>3.4731641993374675E-2</c:v>
                </c:pt>
                <c:pt idx="47">
                  <c:v>7.7464682197773679E-2</c:v>
                </c:pt>
                <c:pt idx="52" formatCode="0.0%">
                  <c:v>8.5995375363303039E-2</c:v>
                </c:pt>
                <c:pt idx="57" formatCode="0.0%">
                  <c:v>8.5608332137839138E-2</c:v>
                </c:pt>
                <c:pt idx="62" formatCode="0.0%">
                  <c:v>8.5737346546327101E-2</c:v>
                </c:pt>
              </c:numCache>
            </c:numRef>
          </c:val>
          <c:smooth val="1"/>
        </c:ser>
        <c:ser>
          <c:idx val="2"/>
          <c:order val="2"/>
          <c:tx>
            <c:v>After controls for age, sex, family situation, income, wealth</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DataG14.11!$AR$6:$AR$71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formatCode="0.0%">
                  <c:v>0.11651276864743246</c:v>
                </c:pt>
                <c:pt idx="57" formatCode="0.0%">
                  <c:v>0.11928701358374189</c:v>
                </c:pt>
                <c:pt idx="62" formatCode="0.0%">
                  <c:v>0.14667618271476765</c:v>
                </c:pt>
              </c:numCache>
            </c:numRef>
          </c:val>
          <c:smooth val="1"/>
        </c:ser>
        <c:ser>
          <c:idx val="3"/>
          <c:order val="3"/>
          <c:tx>
            <c:v>After controls for age, sex, family sit., income, wealth, father's occupation</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DataG14.11!$AS$6:$AS$71</c:f>
              <c:numCache>
                <c:formatCode>0%</c:formatCode>
                <c:ptCount val="66"/>
                <c:pt idx="1">
                  <c:v>-0.13876086235211549</c:v>
                </c:pt>
                <c:pt idx="3">
                  <c:v>-9.6557522577120108E-2</c:v>
                </c:pt>
                <c:pt idx="7">
                  <c:v>-9.686558244341284E-2</c:v>
                </c:pt>
                <c:pt idx="10">
                  <c:v>-1.8502208520412809E-2</c:v>
                </c:pt>
                <c:pt idx="12">
                  <c:v>5.7591921651700267E-3</c:v>
                </c:pt>
                <c:pt idx="18">
                  <c:v>2.7748432753021812E-2</c:v>
                </c:pt>
                <c:pt idx="19">
                  <c:v>5.1504321073816757E-2</c:v>
                </c:pt>
                <c:pt idx="23">
                  <c:v>3.1888356471467247E-2</c:v>
                </c:pt>
                <c:pt idx="31">
                  <c:v>4.4010014386666893E-2</c:v>
                </c:pt>
                <c:pt idx="33">
                  <c:v>4.2235200623403323E-2</c:v>
                </c:pt>
                <c:pt idx="38">
                  <c:v>0.1076763564376997</c:v>
                </c:pt>
                <c:pt idx="40">
                  <c:v>9.8539006220540334E-2</c:v>
                </c:pt>
                <c:pt idx="47">
                  <c:v>9.11220017549558E-2</c:v>
                </c:pt>
                <c:pt idx="52" formatCode="0.0%">
                  <c:v>0.11331627378032674</c:v>
                </c:pt>
                <c:pt idx="57" formatCode="0.0%">
                  <c:v>0.13102452681268975</c:v>
                </c:pt>
                <c:pt idx="62">
                  <c:v>0.14447038767614431</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352524208"/>
        <c:axId val="352523424"/>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3525242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352523424"/>
        <c:crossesAt val="0"/>
        <c:auto val="1"/>
        <c:lblAlgn val="ctr"/>
        <c:lblOffset val="100"/>
        <c:tickLblSkip val="5"/>
        <c:tickMarkSkip val="5"/>
        <c:noMultiLvlLbl val="0"/>
      </c:catAx>
      <c:valAx>
        <c:axId val="352523424"/>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2524208"/>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262204724409449"/>
          <c:y val="0.50839335003157526"/>
          <c:w val="0.75479724409448812"/>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200" b="1" i="0" baseline="0"/>
              <a:t>The fall in per student expenditure in France </a:t>
            </a:r>
            <a:r>
              <a:rPr lang="fr-FR" sz="2100" b="0" i="0" baseline="0">
                <a:latin typeface="Arial Narrow" panose="020B0606020202030204" pitchFamily="34" charset="0"/>
              </a:rPr>
              <a:t>(base 100 in 2008) </a:t>
            </a:r>
            <a:endParaRPr lang="fr-FR" sz="2100" b="0" i="0">
              <a:latin typeface="Arial Narrow" panose="020B0606020202030204" pitchFamily="34" charset="0"/>
            </a:endParaRPr>
          </a:p>
        </c:rich>
      </c:tx>
      <c:layout>
        <c:manualLayout>
          <c:xMode val="edge"/>
          <c:yMode val="edge"/>
          <c:x val="0.12509415025929119"/>
          <c:y val="2.9470425312857991E-2"/>
        </c:manualLayout>
      </c:layout>
      <c:overlay val="0"/>
      <c:spPr>
        <a:noFill/>
        <a:ln w="25400">
          <a:noFill/>
        </a:ln>
      </c:spPr>
    </c:title>
    <c:autoTitleDeleted val="0"/>
    <c:plotArea>
      <c:layout>
        <c:manualLayout>
          <c:layoutTarget val="inner"/>
          <c:xMode val="edge"/>
          <c:yMode val="edge"/>
          <c:x val="7.5335147482169768E-2"/>
          <c:y val="8.9538703927569213E-2"/>
          <c:w val="0.88765727418889395"/>
          <c:h val="0.73624610201733087"/>
        </c:manualLayout>
      </c:layout>
      <c:lineChart>
        <c:grouping val="standard"/>
        <c:varyColors val="0"/>
        <c:ser>
          <c:idx val="0"/>
          <c:order val="0"/>
          <c:tx>
            <c:v>Total number of students</c:v>
          </c:tx>
          <c:spPr>
            <a:ln w="41275">
              <a:solidFill>
                <a:schemeClr val="accent1"/>
              </a:solidFill>
            </a:ln>
          </c:spPr>
          <c:marker>
            <c:symbol val="diamond"/>
            <c:size val="16"/>
          </c:marker>
          <c:val>
            <c:numRef>
              <c:f>DataGS14.11e!$K$13:$K$23</c:f>
              <c:numCache>
                <c:formatCode>0</c:formatCode>
                <c:ptCount val="11"/>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numCache>
            </c:numRef>
          </c:val>
          <c:smooth val="1"/>
        </c:ser>
        <c:ser>
          <c:idx val="6"/>
          <c:order val="1"/>
          <c:tx>
            <c:v>Total higher education expenditures (constant euros)</c:v>
          </c:tx>
          <c:spPr>
            <a:ln w="41275">
              <a:solidFill>
                <a:schemeClr val="accent3"/>
              </a:solidFill>
            </a:ln>
          </c:spPr>
          <c:marker>
            <c:symbol val="circle"/>
            <c:size val="12"/>
            <c:spPr>
              <a:solidFill>
                <a:schemeClr val="accent3"/>
              </a:solidFill>
              <a:ln>
                <a:solidFill>
                  <a:schemeClr val="accent3"/>
                </a:solidFill>
              </a:ln>
            </c:spPr>
          </c:marker>
          <c:cat>
            <c:numRef>
              <c:f>DataGS14.11e!$A$13:$A$23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DataGS14.11e!$D$13:$D$23</c:f>
              <c:numCache>
                <c:formatCode>0</c:formatCode>
                <c:ptCount val="11"/>
                <c:pt idx="0">
                  <c:v>100</c:v>
                </c:pt>
                <c:pt idx="1">
                  <c:v>103.44044597919405</c:v>
                </c:pt>
                <c:pt idx="2">
                  <c:v>106.70032591840183</c:v>
                </c:pt>
                <c:pt idx="3">
                  <c:v>106.5742741291029</c:v>
                </c:pt>
                <c:pt idx="4">
                  <c:v>107.92162943769331</c:v>
                </c:pt>
                <c:pt idx="5">
                  <c:v>108.79167339562076</c:v>
                </c:pt>
                <c:pt idx="6">
                  <c:v>109.0157235257503</c:v>
                </c:pt>
                <c:pt idx="7">
                  <c:v>106.16756244974883</c:v>
                </c:pt>
                <c:pt idx="8">
                  <c:v>106.94442477876106</c:v>
                </c:pt>
                <c:pt idx="9">
                  <c:v>109.06086149698451</c:v>
                </c:pt>
                <c:pt idx="10">
                  <c:v>108.68532935153851</c:v>
                </c:pt>
              </c:numCache>
            </c:numRef>
          </c:val>
          <c:smooth val="1"/>
        </c:ser>
        <c:ser>
          <c:idx val="1"/>
          <c:order val="2"/>
          <c:tx>
            <c:v>Per student expenditure (constant euros)</c:v>
          </c:tx>
          <c:spPr>
            <a:ln w="47625">
              <a:solidFill>
                <a:schemeClr val="accent2"/>
              </a:solidFill>
            </a:ln>
          </c:spPr>
          <c:marker>
            <c:symbol val="square"/>
            <c:size val="14"/>
          </c:marker>
          <c:val>
            <c:numRef>
              <c:f>DataGS14.11e!$F$13:$F$23</c:f>
              <c:numCache>
                <c:formatCode>0</c:formatCode>
                <c:ptCount val="11"/>
                <c:pt idx="0">
                  <c:v>100</c:v>
                </c:pt>
                <c:pt idx="1">
                  <c:v>102.38493122430431</c:v>
                </c:pt>
                <c:pt idx="2">
                  <c:v>102.87313185996304</c:v>
                </c:pt>
                <c:pt idx="3">
                  <c:v>102.48586447501232</c:v>
                </c:pt>
                <c:pt idx="4">
                  <c:v>102.41308178455712</c:v>
                </c:pt>
                <c:pt idx="5">
                  <c:v>102.02363318437575</c:v>
                </c:pt>
                <c:pt idx="6">
                  <c:v>100.00578913895926</c:v>
                </c:pt>
                <c:pt idx="7">
                  <c:v>95.855860714443395</c:v>
                </c:pt>
                <c:pt idx="8">
                  <c:v>93.529208812785541</c:v>
                </c:pt>
                <c:pt idx="9">
                  <c:v>93.224054406043081</c:v>
                </c:pt>
                <c:pt idx="10">
                  <c:v>90.814324102456681</c:v>
                </c:pt>
              </c:numCache>
            </c:numRef>
          </c:val>
          <c:smooth val="1"/>
        </c:ser>
        <c:dLbls>
          <c:showLegendKey val="0"/>
          <c:showVal val="0"/>
          <c:showCatName val="0"/>
          <c:showSerName val="0"/>
          <c:showPercent val="0"/>
          <c:showBubbleSize val="0"/>
        </c:dLbls>
        <c:marker val="1"/>
        <c:smooth val="0"/>
        <c:axId val="352523032"/>
        <c:axId val="352521856"/>
      </c:lineChart>
      <c:catAx>
        <c:axId val="352523032"/>
        <c:scaling>
          <c:orientation val="minMax"/>
        </c:scaling>
        <c:delete val="0"/>
        <c:axPos val="b"/>
        <c:majorGridlines>
          <c:spPr>
            <a:ln w="15875">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352521856"/>
        <c:crossesAt val="0"/>
        <c:auto val="0"/>
        <c:lblAlgn val="ctr"/>
        <c:lblOffset val="100"/>
        <c:tickLblSkip val="1"/>
        <c:tickMarkSkip val="1"/>
        <c:noMultiLvlLbl val="0"/>
      </c:catAx>
      <c:valAx>
        <c:axId val="352521856"/>
        <c:scaling>
          <c:orientation val="minMax"/>
          <c:max val="120"/>
          <c:min val="90"/>
        </c:scaling>
        <c:delete val="0"/>
        <c:axPos val="l"/>
        <c:majorGridlines>
          <c:spPr>
            <a:ln w="158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352523032"/>
        <c:crossesAt val="1"/>
        <c:crossBetween val="midCat"/>
        <c:majorUnit val="2"/>
        <c:minorUnit val="2"/>
      </c:valAx>
      <c:spPr>
        <a:solidFill>
          <a:srgbClr val="FFFFFF"/>
        </a:solidFill>
        <a:ln w="25400">
          <a:solidFill>
            <a:srgbClr val="000000"/>
          </a:solidFill>
          <a:prstDash val="solid"/>
        </a:ln>
      </c:spPr>
    </c:plotArea>
    <c:legend>
      <c:legendPos val="t"/>
      <c:layout>
        <c:manualLayout>
          <c:xMode val="edge"/>
          <c:yMode val="edge"/>
          <c:x val="8.1652654018441309E-2"/>
          <c:y val="0.1200500974722558"/>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catholicism in France: variants </a:t>
            </a:r>
            <a:endParaRPr lang="fr-FR" sz="2000" b="0" baseline="0">
              <a:latin typeface="Arial" panose="020B0604020202020204" pitchFamily="34" charset="0"/>
              <a:cs typeface="Arial" panose="020B0604020202020204" pitchFamily="34" charset="0"/>
            </a:endParaRPr>
          </a:p>
        </c:rich>
      </c:tx>
      <c:layout>
        <c:manualLayout>
          <c:xMode val="edge"/>
          <c:yMode val="edge"/>
          <c:x val="0.16956494279866505"/>
          <c:y val="6.7541057713220772E-3"/>
        </c:manualLayout>
      </c:layout>
      <c:overlay val="0"/>
      <c:spPr>
        <a:noFill/>
        <a:ln w="25400">
          <a:noFill/>
        </a:ln>
      </c:spPr>
    </c:title>
    <c:autoTitleDeleted val="0"/>
    <c:plotArea>
      <c:layout>
        <c:manualLayout>
          <c:layoutTarget val="inner"/>
          <c:xMode val="edge"/>
          <c:yMode val="edge"/>
          <c:x val="7.9314069897553602E-2"/>
          <c:y val="6.7905295449666572E-2"/>
          <c:w val="0.881790953490451"/>
          <c:h val="0.74432857417061793"/>
        </c:manualLayout>
      </c:layout>
      <c:lineChart>
        <c:grouping val="standard"/>
        <c:varyColors val="0"/>
        <c:ser>
          <c:idx val="6"/>
          <c:order val="0"/>
          <c:tx>
            <c:v>Difference between % vote for left parties among voters with no religion and other voters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practicing catholics and other voters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2"/>
          <c:order val="3"/>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DataG14.15!$BV$11:$BV$66</c:f>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extLst/>
            </c:numRef>
          </c:val>
          <c:smooth val="1"/>
        </c:ser>
        <c:ser>
          <c:idx val="3"/>
          <c:order val="4"/>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DataG14.15!$BW$11:$BW$66</c:f>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extLst/>
            </c:numRef>
          </c:val>
          <c:smooth val="1"/>
        </c:ser>
        <c:ser>
          <c:idx val="4"/>
          <c:order val="5"/>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DataG14.15!$CG$11:$CG$66</c:f>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extLst/>
            </c:numRef>
          </c:val>
          <c:smooth val="1"/>
        </c:ser>
        <c:ser>
          <c:idx val="5"/>
          <c:order val="6"/>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DataG14.15!$CH$11:$CH$66</c:f>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extLst/>
            </c:numRef>
          </c:val>
          <c:smooth val="1"/>
        </c:ser>
        <c:dLbls>
          <c:showLegendKey val="0"/>
          <c:showVal val="0"/>
          <c:showCatName val="0"/>
          <c:showSerName val="0"/>
          <c:showPercent val="0"/>
          <c:showBubbleSize val="0"/>
        </c:dLbls>
        <c:marker val="1"/>
        <c:smooth val="0"/>
        <c:axId val="352520288"/>
        <c:axId val="352519896"/>
        <c:extLst/>
      </c:lineChart>
      <c:catAx>
        <c:axId val="3525202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352519896"/>
        <c:crossesAt val="0"/>
        <c:auto val="1"/>
        <c:lblAlgn val="ctr"/>
        <c:lblOffset val="100"/>
        <c:tickLblSkip val="5"/>
        <c:tickMarkSkip val="5"/>
        <c:noMultiLvlLbl val="0"/>
      </c:catAx>
      <c:valAx>
        <c:axId val="352519896"/>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2520288"/>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ayout>
        <c:manualLayout>
          <c:xMode val="edge"/>
          <c:yMode val="edge"/>
          <c:x val="0.26240466905427451"/>
          <c:y val="0.34158618278501662"/>
          <c:w val="0.50858655356037752"/>
          <c:h val="0.1918257902699203"/>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catholicism en France: controls </a:t>
            </a:r>
            <a:endParaRPr lang="fr-FR" sz="2000" b="0" baseline="0">
              <a:latin typeface="Arial" panose="020B0604020202020204" pitchFamily="34" charset="0"/>
              <a:cs typeface="Arial" panose="020B0604020202020204" pitchFamily="34" charset="0"/>
            </a:endParaRPr>
          </a:p>
        </c:rich>
      </c:tx>
      <c:layout>
        <c:manualLayout>
          <c:xMode val="edge"/>
          <c:yMode val="edge"/>
          <c:x val="0.16677424400422808"/>
          <c:y val="9.0006766544271817E-3"/>
        </c:manualLayout>
      </c:layout>
      <c:overlay val="0"/>
      <c:spPr>
        <a:noFill/>
        <a:ln w="25400">
          <a:noFill/>
        </a:ln>
      </c:spPr>
    </c:title>
    <c:autoTitleDeleted val="0"/>
    <c:plotArea>
      <c:layout>
        <c:manualLayout>
          <c:layoutTarget val="inner"/>
          <c:xMode val="edge"/>
          <c:yMode val="edge"/>
          <c:x val="7.9314069897553602E-2"/>
          <c:y val="7.9180407654789092E-2"/>
          <c:w val="0.881790953490451"/>
          <c:h val="0.74658359661164231"/>
        </c:manualLayout>
      </c:layout>
      <c:lineChart>
        <c:grouping val="standard"/>
        <c:varyColors val="0"/>
        <c:ser>
          <c:idx val="6"/>
          <c:order val="0"/>
          <c:tx>
            <c:v>Difference between % vote for left parties among voters with no religion and other voters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practicing catholics and other voters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7"/>
          <c:order val="2"/>
          <c:tx>
            <c:v>After controls for age, sex, family situation</c:v>
          </c:tx>
          <c:spPr>
            <a:ln>
              <a:solidFill>
                <a:schemeClr val="accent6"/>
              </a:solidFill>
            </a:ln>
          </c:spP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DataG14.15!$BX$11:$BX$66</c:f>
              <c:numCache>
                <c:formatCode>0%</c:formatCode>
                <c:ptCount val="56"/>
                <c:pt idx="5">
                  <c:v>0.33942363718817831</c:v>
                </c:pt>
                <c:pt idx="7">
                  <c:v>0.33181553531111813</c:v>
                </c:pt>
                <c:pt idx="13">
                  <c:v>0.40953350708754549</c:v>
                </c:pt>
                <c:pt idx="14">
                  <c:v>0.37323447944756127</c:v>
                </c:pt>
                <c:pt idx="18">
                  <c:v>0.3326586849539816</c:v>
                </c:pt>
                <c:pt idx="26">
                  <c:v>0.33737990074751839</c:v>
                </c:pt>
                <c:pt idx="28">
                  <c:v>0.29311967943720502</c:v>
                </c:pt>
                <c:pt idx="33">
                  <c:v>0.28177584607835138</c:v>
                </c:pt>
                <c:pt idx="35">
                  <c:v>0.2895293313164064</c:v>
                </c:pt>
                <c:pt idx="37">
                  <c:v>0.25165526493965351</c:v>
                </c:pt>
                <c:pt idx="42">
                  <c:v>0.23438386008132966</c:v>
                </c:pt>
                <c:pt idx="47">
                  <c:v>0.24023423688295004</c:v>
                </c:pt>
                <c:pt idx="52">
                  <c:v>0.19873307613204894</c:v>
                </c:pt>
              </c:numCache>
              <c:extLst/>
            </c:numRef>
          </c:val>
          <c:smooth val="1"/>
        </c:ser>
        <c:ser>
          <c:idx val="9"/>
          <c:order val="4"/>
          <c:tx>
            <c:v>After controls for age, sexe, family situation, education, income</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DataG14.15!$BZ$11:$BZ$66</c:f>
              <c:numCache>
                <c:formatCode>0%</c:formatCode>
                <c:ptCount val="56"/>
                <c:pt idx="5">
                  <c:v>0.3479761938083491</c:v>
                </c:pt>
                <c:pt idx="7">
                  <c:v>0.33243762633310303</c:v>
                </c:pt>
                <c:pt idx="13">
                  <c:v>0.41476669493262797</c:v>
                </c:pt>
                <c:pt idx="14">
                  <c:v>0.3788431169741131</c:v>
                </c:pt>
                <c:pt idx="18">
                  <c:v>0.3342593057211089</c:v>
                </c:pt>
                <c:pt idx="26">
                  <c:v>0.34732765705080182</c:v>
                </c:pt>
                <c:pt idx="28">
                  <c:v>0.30442773813801843</c:v>
                </c:pt>
                <c:pt idx="33">
                  <c:v>0.27991798500289872</c:v>
                </c:pt>
                <c:pt idx="35">
                  <c:v>0.28809544087083716</c:v>
                </c:pt>
                <c:pt idx="37">
                  <c:v>0.25102630584072222</c:v>
                </c:pt>
                <c:pt idx="42">
                  <c:v>0.23180545176540712</c:v>
                </c:pt>
                <c:pt idx="47">
                  <c:v>0.23763049765034888</c:v>
                </c:pt>
                <c:pt idx="52">
                  <c:v>0.19240613019871017</c:v>
                </c:pt>
              </c:numCache>
              <c:extLst/>
            </c:numRef>
          </c:val>
          <c:smooth val="1"/>
        </c:ser>
        <c:ser>
          <c:idx val="10"/>
          <c:order val="5"/>
          <c:tx>
            <c:v>After controls for age, sex, family sit., education, income, wealth, father's occupation</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DataG14.15!$CA$11:$CA$66</c:f>
              <c:numCache>
                <c:formatCode>0%</c:formatCode>
                <c:ptCount val="56"/>
                <c:pt idx="5">
                  <c:v>0.32966738897389009</c:v>
                </c:pt>
                <c:pt idx="7">
                  <c:v>0.30561338512197667</c:v>
                </c:pt>
                <c:pt idx="13">
                  <c:v>0.36072738674786486</c:v>
                </c:pt>
                <c:pt idx="14">
                  <c:v>0.33256131886853069</c:v>
                </c:pt>
                <c:pt idx="18">
                  <c:v>0.28795058885107705</c:v>
                </c:pt>
                <c:pt idx="26">
                  <c:v>0.30220227766645169</c:v>
                </c:pt>
                <c:pt idx="28">
                  <c:v>0.25813363886162471</c:v>
                </c:pt>
                <c:pt idx="33">
                  <c:v>0.24824111897615547</c:v>
                </c:pt>
                <c:pt idx="35">
                  <c:v>0.26008096311304602</c:v>
                </c:pt>
                <c:pt idx="37">
                  <c:v>0.25102630584074354</c:v>
                </c:pt>
                <c:pt idx="42">
                  <c:v>0.22587615664410965</c:v>
                </c:pt>
                <c:pt idx="47">
                  <c:v>0.22430137990682092</c:v>
                </c:pt>
                <c:pt idx="52">
                  <c:v>0.18737555254032387</c:v>
                </c:pt>
              </c:numCache>
              <c:extLst/>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11"/>
          <c:order val="11"/>
          <c:tx>
            <c:v>catho après age, sexe</c:v>
          </c:tx>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DataG14.15!$CI$11:$CI$66</c:f>
              <c:numCache>
                <c:formatCode>0%</c:formatCode>
                <c:ptCount val="56"/>
                <c:pt idx="5">
                  <c:v>-0.26302570222872318</c:v>
                </c:pt>
                <c:pt idx="7">
                  <c:v>-0.36874780621884895</c:v>
                </c:pt>
                <c:pt idx="13">
                  <c:v>-0.40466503783105934</c:v>
                </c:pt>
                <c:pt idx="14">
                  <c:v>-0.39583866169648702</c:v>
                </c:pt>
                <c:pt idx="18">
                  <c:v>-0.36242815093663383</c:v>
                </c:pt>
                <c:pt idx="26">
                  <c:v>-0.29677520544882791</c:v>
                </c:pt>
                <c:pt idx="28">
                  <c:v>-0.28527738215337639</c:v>
                </c:pt>
                <c:pt idx="33">
                  <c:v>-0.26716574248017461</c:v>
                </c:pt>
                <c:pt idx="35">
                  <c:v>-0.30752684194828761</c:v>
                </c:pt>
                <c:pt idx="37">
                  <c:v>-0.24658244180084588</c:v>
                </c:pt>
                <c:pt idx="42">
                  <c:v>-0.17703759123197027</c:v>
                </c:pt>
                <c:pt idx="47">
                  <c:v>-0.20850651627584749</c:v>
                </c:pt>
                <c:pt idx="52">
                  <c:v>-0.13531630987426238</c:v>
                </c:pt>
              </c:numCache>
              <c:extLst/>
            </c:numRef>
          </c:val>
          <c:smooth val="1"/>
        </c:ser>
        <c:ser>
          <c:idx val="13"/>
          <c:order val="13"/>
          <c:tx>
            <c:v>catho après âge, sexe, diplo, revenu</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DataG14.15!$CK$11:$CK$66</c:f>
              <c:numCache>
                <c:formatCode>0%</c:formatCode>
                <c:ptCount val="56"/>
                <c:pt idx="5">
                  <c:v>-0.25873618814369131</c:v>
                </c:pt>
                <c:pt idx="7">
                  <c:v>-0.35982768347844241</c:v>
                </c:pt>
                <c:pt idx="13">
                  <c:v>-0.38970799946007884</c:v>
                </c:pt>
                <c:pt idx="14">
                  <c:v>-0.38307690864028299</c:v>
                </c:pt>
                <c:pt idx="18">
                  <c:v>-0.34649747713139628</c:v>
                </c:pt>
                <c:pt idx="26">
                  <c:v>-0.29441282451625422</c:v>
                </c:pt>
                <c:pt idx="28">
                  <c:v>-0.28222326004654391</c:v>
                </c:pt>
                <c:pt idx="33">
                  <c:v>-0.27448932216752403</c:v>
                </c:pt>
                <c:pt idx="35">
                  <c:v>-0.31344741029987261</c:v>
                </c:pt>
                <c:pt idx="37">
                  <c:v>-0.24683388358693228</c:v>
                </c:pt>
                <c:pt idx="42">
                  <c:v>-0.18740687973523626</c:v>
                </c:pt>
                <c:pt idx="47">
                  <c:v>-0.21638641397443248</c:v>
                </c:pt>
                <c:pt idx="52">
                  <c:v>-0.14993733445229726</c:v>
                </c:pt>
              </c:numCache>
              <c:extLst/>
            </c:numRef>
          </c:val>
          <c:smooth val="1"/>
        </c:ser>
        <c:ser>
          <c:idx val="14"/>
          <c:order val="14"/>
          <c:tx>
            <c:v>catho après age, sexe, diplo, revenu, patri prof pere</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DataG14.15!$CL$11:$CL$66</c:f>
              <c:numCache>
                <c:formatCode>0%</c:formatCode>
                <c:ptCount val="56"/>
                <c:pt idx="5">
                  <c:v>-0.24406082942357873</c:v>
                </c:pt>
                <c:pt idx="7">
                  <c:v>-0.33784567666399806</c:v>
                </c:pt>
                <c:pt idx="13">
                  <c:v>-0.33666916610677544</c:v>
                </c:pt>
                <c:pt idx="14">
                  <c:v>-0.33165538362964353</c:v>
                </c:pt>
                <c:pt idx="18">
                  <c:v>-0.28690803719608449</c:v>
                </c:pt>
                <c:pt idx="26">
                  <c:v>-0.23809271634707294</c:v>
                </c:pt>
                <c:pt idx="28">
                  <c:v>-0.22812957751504456</c:v>
                </c:pt>
                <c:pt idx="33">
                  <c:v>-0.22598070100701106</c:v>
                </c:pt>
                <c:pt idx="35">
                  <c:v>-0.26329580761393673</c:v>
                </c:pt>
                <c:pt idx="37">
                  <c:v>-0.24683388358693759</c:v>
                </c:pt>
                <c:pt idx="42">
                  <c:v>-0.16990832632092623</c:v>
                </c:pt>
                <c:pt idx="47">
                  <c:v>-0.1897857770786564</c:v>
                </c:pt>
                <c:pt idx="52">
                  <c:v>-0.12520966092486446</c:v>
                </c:pt>
              </c:numCache>
              <c:extLst/>
            </c:numRef>
          </c:val>
          <c:smooth val="1"/>
        </c:ser>
        <c:dLbls>
          <c:showLegendKey val="0"/>
          <c:showVal val="0"/>
          <c:showCatName val="0"/>
          <c:showSerName val="0"/>
          <c:showPercent val="0"/>
          <c:showBubbleSize val="0"/>
        </c:dLbls>
        <c:marker val="1"/>
        <c:smooth val="0"/>
        <c:axId val="352521464"/>
        <c:axId val="352517936"/>
        <c:extLst>
          <c:ext xmlns:c15="http://schemas.microsoft.com/office/drawing/2012/chart" uri="{02D57815-91ED-43cb-92C2-25804820EDAC}">
            <c15:filteredLineSeries>
              <c15:ser>
                <c:idx val="8"/>
                <c:order val="3"/>
                <c:tx>
                  <c:v>Après contrôles pour âge, sexe, diplôme</c:v>
                </c:tx>
                <c:cat>
                  <c:numRef>
                    <c:extLst>
                      <c:ex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c:ext uri="{02D57815-91ED-43cb-92C2-25804820EDAC}">
                        <c15:formulaRef>
                          <c15:sqref>DataG14.15!$BY$11:$BY$66</c15:sqref>
                        </c15:formulaRef>
                      </c:ext>
                    </c:extLst>
                    <c:numCache>
                      <c:formatCode>0%</c:formatCode>
                      <c:ptCount val="56"/>
                      <c:pt idx="5">
                        <c:v>0.3404223230104701</c:v>
                      </c:pt>
                      <c:pt idx="7">
                        <c:v>0.33170331170355311</c:v>
                      </c:pt>
                      <c:pt idx="13">
                        <c:v>0.42259660923720987</c:v>
                      </c:pt>
                      <c:pt idx="14">
                        <c:v>0.38792767477694912</c:v>
                      </c:pt>
                      <c:pt idx="18">
                        <c:v>0.34739144803209676</c:v>
                      </c:pt>
                      <c:pt idx="26">
                        <c:v>0.34596015022552579</c:v>
                      </c:pt>
                      <c:pt idx="28">
                        <c:v>0.30404130285452752</c:v>
                      </c:pt>
                      <c:pt idx="33">
                        <c:v>0.27884584961945402</c:v>
                      </c:pt>
                      <c:pt idx="35">
                        <c:v>0.28891144668685037</c:v>
                      </c:pt>
                      <c:pt idx="37">
                        <c:v>0.25102630584071595</c:v>
                      </c:pt>
                      <c:pt idx="42">
                        <c:v>0.23424090487172172</c:v>
                      </c:pt>
                      <c:pt idx="47">
                        <c:v>0.23770028467634058</c:v>
                      </c:pt>
                      <c:pt idx="52">
                        <c:v>0.19447823546147247</c:v>
                      </c:pt>
                    </c:numCache>
                  </c:numRef>
                </c:val>
                <c:smooth val="0"/>
              </c15:ser>
            </c15:filteredLineSeries>
            <c15:filteredLineSeries>
              <c15:ser>
                <c:idx val="2"/>
                <c:order val="7"/>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DataG14.15!$BV$11:$BV$66</c15:sqref>
                        </c15:formulaRef>
                      </c:ext>
                    </c:extLst>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numRef>
                </c:val>
                <c:smooth val="0"/>
              </c15:ser>
            </c15:filteredLineSeries>
            <c15:filteredLineSeries>
              <c15:ser>
                <c:idx val="3"/>
                <c:order val="8"/>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DataG14.15!$BW$11:$BW$66</c15:sqref>
                        </c15:formulaRef>
                      </c:ext>
                    </c:extLst>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numRef>
                </c:val>
                <c:smooth val="0"/>
              </c15:ser>
            </c15:filteredLineSeries>
            <c15:filteredLineSeries>
              <c15:ser>
                <c:idx val="4"/>
                <c:order val="9"/>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DataG14.15!$CG$11:$CG$66</c15:sqref>
                        </c15:formulaRef>
                      </c:ext>
                    </c:extLst>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numRef>
                </c:val>
                <c:smooth val="0"/>
              </c15:ser>
            </c15:filteredLineSeries>
            <c15:filteredLineSeries>
              <c15:ser>
                <c:idx val="5"/>
                <c:order val="10"/>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DataG14.15!$CH$11:$CH$66</c15:sqref>
                        </c15:formulaRef>
                      </c:ext>
                    </c:extLst>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numRef>
                </c:val>
                <c:smooth val="0"/>
              </c15:ser>
            </c15:filteredLineSeries>
            <c15:filteredLineSeries>
              <c15:ser>
                <c:idx val="12"/>
                <c:order val="12"/>
                <c:tx>
                  <c:v>catho après âge, sexe, diplôme</c:v>
                </c:tx>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DataG14.15!$CJ$11:$CJ$66</c15:sqref>
                        </c15:formulaRef>
                      </c:ext>
                    </c:extLst>
                    <c:numCache>
                      <c:formatCode>0%</c:formatCode>
                      <c:ptCount val="56"/>
                      <c:pt idx="5">
                        <c:v>-0.26122733588500285</c:v>
                      </c:pt>
                      <c:pt idx="7">
                        <c:v>-0.36594010039448865</c:v>
                      </c:pt>
                      <c:pt idx="13">
                        <c:v>-0.39785482856749499</c:v>
                      </c:pt>
                      <c:pt idx="14">
                        <c:v>-0.3938293844827831</c:v>
                      </c:pt>
                      <c:pt idx="18">
                        <c:v>-0.35608456444161096</c:v>
                      </c:pt>
                      <c:pt idx="26">
                        <c:v>-0.29404614492644959</c:v>
                      </c:pt>
                      <c:pt idx="28">
                        <c:v>-0.28190153305253324</c:v>
                      </c:pt>
                      <c:pt idx="33">
                        <c:v>-0.27111292190955405</c:v>
                      </c:pt>
                      <c:pt idx="35">
                        <c:v>-0.30949466784292679</c:v>
                      </c:pt>
                      <c:pt idx="37">
                        <c:v>-0.24683388358695665</c:v>
                      </c:pt>
                      <c:pt idx="42">
                        <c:v>-0.1898679636274952</c:v>
                      </c:pt>
                      <c:pt idx="47">
                        <c:v>-0.21564118959791589</c:v>
                      </c:pt>
                      <c:pt idx="52">
                        <c:v>-0.14619566602130682</c:v>
                      </c:pt>
                    </c:numCache>
                  </c:numRef>
                </c:val>
                <c:smooth val="0"/>
              </c15:ser>
            </c15:filteredLineSeries>
          </c:ext>
        </c:extLst>
      </c:lineChart>
      <c:catAx>
        <c:axId val="3525214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352517936"/>
        <c:crossesAt val="0"/>
        <c:auto val="1"/>
        <c:lblAlgn val="ctr"/>
        <c:lblOffset val="100"/>
        <c:tickLblSkip val="5"/>
        <c:tickMarkSkip val="5"/>
        <c:noMultiLvlLbl val="0"/>
      </c:catAx>
      <c:valAx>
        <c:axId val="352517936"/>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2521464"/>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latin typeface="Arial" panose="020B0604020202020204" pitchFamily="34" charset="0"/>
                <a:cs typeface="Arial" panose="020B0604020202020204" pitchFamily="34" charset="0"/>
              </a:defRPr>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egendEntry>
        <c:idx val="4"/>
        <c:txPr>
          <a:bodyPr/>
          <a:lstStyle/>
          <a:p>
            <a:pPr>
              <a:defRPr sz="1300"/>
            </a:pPr>
            <a:endParaRPr lang="fr-FR"/>
          </a:p>
        </c:txPr>
      </c:legendEntry>
      <c:layout>
        <c:manualLayout>
          <c:xMode val="edge"/>
          <c:yMode val="edge"/>
          <c:x val="0.10796431697675098"/>
          <c:y val="0.33708622952844708"/>
          <c:w val="0.83712534327251631"/>
          <c:h val="0.2030958376431651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vote of Muslim voters in France 1985-2015</a:t>
            </a:r>
          </a:p>
        </c:rich>
      </c:tx>
      <c:layout>
        <c:manualLayout>
          <c:xMode val="edge"/>
          <c:yMode val="edge"/>
          <c:x val="0.20439340227842123"/>
          <c:y val="4.4824801943533473E-3"/>
        </c:manualLayout>
      </c:layout>
      <c:overlay val="0"/>
      <c:spPr>
        <a:noFill/>
        <a:ln w="25400">
          <a:noFill/>
        </a:ln>
      </c:spPr>
    </c:title>
    <c:autoTitleDeleted val="0"/>
    <c:plotArea>
      <c:layout>
        <c:manualLayout>
          <c:layoutTarget val="inner"/>
          <c:xMode val="edge"/>
          <c:yMode val="edge"/>
          <c:x val="8.0703962855500883E-2"/>
          <c:y val="8.3690452536838114E-2"/>
          <c:w val="0.881790953490451"/>
          <c:h val="0.72854341708344628"/>
        </c:manualLayout>
      </c:layout>
      <c:lineChart>
        <c:grouping val="standard"/>
        <c:varyColors val="0"/>
        <c:ser>
          <c:idx val="6"/>
          <c:order val="0"/>
          <c:tx>
            <c:v>Difference between % vote for left parties among Muslim voters and other voters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0"/>
          <c:order val="1"/>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ser>
          <c:idx val="2"/>
          <c:order val="2"/>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DataG14.15!$CR$36:$CR$66</c:f>
              <c:numCache>
                <c:formatCode>0%</c:formatCode>
                <c:ptCount val="31"/>
                <c:pt idx="1">
                  <c:v>1.6897133598456668E-2</c:v>
                </c:pt>
                <c:pt idx="3">
                  <c:v>9.8479220192809191E-2</c:v>
                </c:pt>
                <c:pt idx="8">
                  <c:v>0.36653510475699591</c:v>
                </c:pt>
                <c:pt idx="10">
                  <c:v>0.29046622534866118</c:v>
                </c:pt>
                <c:pt idx="12">
                  <c:v>0.36521666123932817</c:v>
                </c:pt>
                <c:pt idx="17">
                  <c:v>0.30378767191956985</c:v>
                </c:pt>
                <c:pt idx="22">
                  <c:v>0.46531836334267423</c:v>
                </c:pt>
                <c:pt idx="27">
                  <c:v>0.3815701475070698</c:v>
                </c:pt>
              </c:numCache>
              <c:extLst/>
            </c:numRef>
          </c:val>
          <c:smooth val="1"/>
        </c:ser>
        <c:ser>
          <c:idx val="3"/>
          <c:order val="3"/>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DataG14.15!$CS$36:$CS$66</c:f>
              <c:numCache>
                <c:formatCode>0%</c:formatCode>
                <c:ptCount val="31"/>
                <c:pt idx="1">
                  <c:v>0.23500736364776187</c:v>
                </c:pt>
                <c:pt idx="3">
                  <c:v>0.33686623316580872</c:v>
                </c:pt>
                <c:pt idx="8">
                  <c:v>0.5846453348063011</c:v>
                </c:pt>
                <c:pt idx="10">
                  <c:v>0.44197062468420023</c:v>
                </c:pt>
                <c:pt idx="12">
                  <c:v>0.52286396626887954</c:v>
                </c:pt>
                <c:pt idx="17">
                  <c:v>0.43246941475129069</c:v>
                </c:pt>
                <c:pt idx="22">
                  <c:v>0.51343619713309718</c:v>
                </c:pt>
                <c:pt idx="27">
                  <c:v>0.4487384757199176</c:v>
                </c:pt>
              </c:numCache>
              <c:extLst/>
            </c:numRef>
          </c:val>
          <c:smooth val="1"/>
        </c:ser>
        <c:dLbls>
          <c:showLegendKey val="0"/>
          <c:showVal val="0"/>
          <c:showCatName val="0"/>
          <c:showSerName val="0"/>
          <c:showPercent val="0"/>
          <c:showBubbleSize val="0"/>
        </c:dLbls>
        <c:marker val="1"/>
        <c:smooth val="0"/>
        <c:axId val="425678800"/>
        <c:axId val="425678408"/>
      </c:lineChart>
      <c:catAx>
        <c:axId val="4256788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5678408"/>
        <c:crossesAt val="0"/>
        <c:auto val="1"/>
        <c:lblAlgn val="ctr"/>
        <c:lblOffset val="100"/>
        <c:tickLblSkip val="5"/>
        <c:tickMarkSkip val="5"/>
        <c:noMultiLvlLbl val="0"/>
      </c:catAx>
      <c:valAx>
        <c:axId val="425678408"/>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567880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ayout>
        <c:manualLayout>
          <c:xMode val="edge"/>
          <c:yMode val="edge"/>
          <c:x val="0.33752691594775791"/>
          <c:y val="0.45429472221019296"/>
          <c:w val="0.45987587719865147"/>
          <c:h val="0.11976114436413828"/>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vote of Muslim voters in France : controls</a:t>
            </a:r>
            <a:endParaRPr lang="fr-FR" sz="2000" b="0" baseline="0">
              <a:latin typeface="Arial" panose="020B0604020202020204" pitchFamily="34" charset="0"/>
              <a:cs typeface="Arial" panose="020B0604020202020204" pitchFamily="34" charset="0"/>
            </a:endParaRPr>
          </a:p>
        </c:rich>
      </c:tx>
      <c:layout>
        <c:manualLayout>
          <c:xMode val="edge"/>
          <c:yMode val="edge"/>
          <c:x val="0.19471297428662654"/>
          <c:y val="2.2325331468269032E-3"/>
        </c:manualLayout>
      </c:layout>
      <c:overlay val="0"/>
      <c:spPr>
        <a:noFill/>
        <a:ln w="25400">
          <a:noFill/>
        </a:ln>
      </c:spPr>
    </c:title>
    <c:autoTitleDeleted val="0"/>
    <c:plotArea>
      <c:layout>
        <c:manualLayout>
          <c:layoutTarget val="inner"/>
          <c:xMode val="edge"/>
          <c:yMode val="edge"/>
          <c:x val="7.9314069897553602E-2"/>
          <c:y val="7.241534033171558E-2"/>
          <c:w val="0.881790953490451"/>
          <c:h val="0.74207355172959333"/>
        </c:manualLayout>
      </c:layout>
      <c:lineChart>
        <c:grouping val="standard"/>
        <c:varyColors val="0"/>
        <c:ser>
          <c:idx val="6"/>
          <c:order val="0"/>
          <c:tx>
            <c:v>Difference between % vote for left parties among Muslim voters and other voters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7"/>
          <c:order val="1"/>
          <c:tx>
            <c:v>After controls for age, sex, family situation</c:v>
          </c:tx>
          <c:spPr>
            <a:ln>
              <a:solidFill>
                <a:schemeClr val="accent2"/>
              </a:solidFill>
            </a:ln>
          </c:spPr>
          <c:marker>
            <c:spPr>
              <a:solidFill>
                <a:schemeClr val="accent2"/>
              </a:solidFill>
              <a:ln>
                <a:solidFill>
                  <a:schemeClr val="accent2"/>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DataG14.15!$CT$36:$CT$66</c:f>
              <c:numCache>
                <c:formatCode>0%</c:formatCode>
                <c:ptCount val="31"/>
                <c:pt idx="1">
                  <c:v>0.11520805413336449</c:v>
                </c:pt>
                <c:pt idx="3">
                  <c:v>0.17170089302623778</c:v>
                </c:pt>
                <c:pt idx="8">
                  <c:v>0.53985719811484623</c:v>
                </c:pt>
                <c:pt idx="10">
                  <c:v>0.32546392986096517</c:v>
                </c:pt>
                <c:pt idx="12">
                  <c:v>0.40074867051006935</c:v>
                </c:pt>
                <c:pt idx="17">
                  <c:v>0.30372838268336311</c:v>
                </c:pt>
                <c:pt idx="22">
                  <c:v>0.43148637888769681</c:v>
                </c:pt>
                <c:pt idx="27">
                  <c:v>0.43401226273895199</c:v>
                </c:pt>
              </c:numCache>
              <c:extLst/>
            </c:numRef>
          </c:val>
          <c:smooth val="1"/>
        </c:ser>
        <c:ser>
          <c:idx val="9"/>
          <c:order val="3"/>
          <c:tx>
            <c:v>After controls for age, sex, family situation, education, income</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DataG14.15!$CV$36:$CV$66</c:f>
              <c:numCache>
                <c:formatCode>0%</c:formatCode>
                <c:ptCount val="31"/>
                <c:pt idx="1">
                  <c:v>0.11029172721290516</c:v>
                </c:pt>
                <c:pt idx="3">
                  <c:v>0.19065813737363996</c:v>
                </c:pt>
                <c:pt idx="8">
                  <c:v>0.52175173798216823</c:v>
                </c:pt>
                <c:pt idx="10">
                  <c:v>0.29754884997738751</c:v>
                </c:pt>
                <c:pt idx="12">
                  <c:v>0.40217047910512216</c:v>
                </c:pt>
                <c:pt idx="17">
                  <c:v>0.28449653853629969</c:v>
                </c:pt>
                <c:pt idx="22">
                  <c:v>0.43891806928941129</c:v>
                </c:pt>
                <c:pt idx="27">
                  <c:v>0.426655991757523</c:v>
                </c:pt>
              </c:numCache>
              <c:extLst/>
            </c:numRef>
          </c:val>
          <c:smooth val="1"/>
        </c:ser>
        <c:ser>
          <c:idx val="10"/>
          <c:order val="4"/>
          <c:tx>
            <c:v>After controls for age, sex, family sit., education, income, wealth, father's occupation</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DataG14.15!$CW$36:$CW$66</c:f>
              <c:numCache>
                <c:formatCode>0%</c:formatCode>
                <c:ptCount val="31"/>
                <c:pt idx="1">
                  <c:v>7.5855837511817556E-2</c:v>
                </c:pt>
                <c:pt idx="3">
                  <c:v>0.14659310198499442</c:v>
                </c:pt>
                <c:pt idx="8">
                  <c:v>0.47567533858470928</c:v>
                </c:pt>
                <c:pt idx="10">
                  <c:v>0.24243293451930259</c:v>
                </c:pt>
                <c:pt idx="12">
                  <c:v>0.40217047910478831</c:v>
                </c:pt>
                <c:pt idx="17">
                  <c:v>0.26550285201785584</c:v>
                </c:pt>
                <c:pt idx="22">
                  <c:v>0.41598260962404848</c:v>
                </c:pt>
                <c:pt idx="27">
                  <c:v>0.38494387847892403</c:v>
                </c:pt>
              </c:numCache>
              <c:extLs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dLbls>
          <c:showLegendKey val="0"/>
          <c:showVal val="0"/>
          <c:showCatName val="0"/>
          <c:showSerName val="0"/>
          <c:showPercent val="0"/>
          <c:showBubbleSize val="0"/>
        </c:dLbls>
        <c:marker val="1"/>
        <c:smooth val="0"/>
        <c:axId val="425675664"/>
        <c:axId val="425677624"/>
        <c:extLst>
          <c:ext xmlns:c15="http://schemas.microsoft.com/office/drawing/2012/chart" uri="{02D57815-91ED-43cb-92C2-25804820EDAC}">
            <c15:filteredLineSeries>
              <c15:ser>
                <c:idx val="8"/>
                <c:order val="2"/>
                <c:tx>
                  <c:v>Après contrôles pour âge, sexe, diplôme</c:v>
                </c:tx>
                <c:cat>
                  <c:numRef>
                    <c:extLst>
                      <c:ext uri="{02D57815-91ED-43cb-92C2-25804820EDAC}">
                        <c15:formulaRef>
                          <c15:sqref>DataG14.15!$A$36:$A$66</c15:sqref>
                        </c15:formulaRef>
                      </c:ext>
                    </c:extLst>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extLst>
                      <c:ext uri="{02D57815-91ED-43cb-92C2-25804820EDAC}">
                        <c15:formulaRef>
                          <c15:sqref>DataG14.15!$CU$36:$CU$66</c15:sqref>
                        </c15:formulaRef>
                      </c:ext>
                    </c:extLst>
                    <c:numCache>
                      <c:formatCode>0%</c:formatCode>
                      <c:ptCount val="31"/>
                      <c:pt idx="1">
                        <c:v>0.12016626210269102</c:v>
                      </c:pt>
                      <c:pt idx="3">
                        <c:v>0.1710734681484419</c:v>
                      </c:pt>
                      <c:pt idx="8">
                        <c:v>0.53796695763457869</c:v>
                      </c:pt>
                      <c:pt idx="10">
                        <c:v>0.31996356371467155</c:v>
                      </c:pt>
                      <c:pt idx="12">
                        <c:v>0.40217047910495485</c:v>
                      </c:pt>
                      <c:pt idx="17">
                        <c:v>0.29063294876437862</c:v>
                      </c:pt>
                      <c:pt idx="22">
                        <c:v>0.44462737940556396</c:v>
                      </c:pt>
                      <c:pt idx="27">
                        <c:v>0.43285314963986454</c:v>
                      </c:pt>
                    </c:numCache>
                  </c:numRef>
                </c:val>
                <c:smooth val="0"/>
              </c15:ser>
            </c15:filteredLineSeries>
          </c:ext>
        </c:extLst>
      </c:lineChart>
      <c:catAx>
        <c:axId val="4256756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5677624"/>
        <c:crossesAt val="0"/>
        <c:auto val="1"/>
        <c:lblAlgn val="ctr"/>
        <c:lblOffset val="100"/>
        <c:tickLblSkip val="5"/>
        <c:tickMarkSkip val="5"/>
        <c:noMultiLvlLbl val="0"/>
      </c:catAx>
      <c:valAx>
        <c:axId val="425677624"/>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5675664"/>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ayout>
        <c:manualLayout>
          <c:xMode val="edge"/>
          <c:yMode val="edge"/>
          <c:x val="0.15243852849963929"/>
          <c:y val="0.63466578104543103"/>
          <c:w val="0.78843156000437564"/>
          <c:h val="0.16928773074250786"/>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Vote decomposition for Muslim voters in France</a:t>
            </a:r>
            <a:endParaRPr lang="fr-FR" sz="2000"/>
          </a:p>
        </c:rich>
      </c:tx>
      <c:layout>
        <c:manualLayout>
          <c:xMode val="edge"/>
          <c:yMode val="edge"/>
          <c:x val="0.20722625629065208"/>
          <c:y val="9.6361892440498747E-6"/>
        </c:manualLayout>
      </c:layout>
      <c:overlay val="0"/>
    </c:title>
    <c:autoTitleDeleted val="0"/>
    <c:plotArea>
      <c:layout>
        <c:manualLayout>
          <c:layoutTarget val="inner"/>
          <c:xMode val="edge"/>
          <c:yMode val="edge"/>
          <c:x val="7.7484140844562122E-2"/>
          <c:y val="5.7758302576441371E-2"/>
          <c:w val="0.90704227158718087"/>
          <c:h val="0.74729606969303353"/>
        </c:manualLayout>
      </c:layout>
      <c:barChart>
        <c:barDir val="col"/>
        <c:grouping val="clustered"/>
        <c:varyColors val="0"/>
        <c:ser>
          <c:idx val="6"/>
          <c:order val="0"/>
          <c:tx>
            <c:v>Difference between % vote for left parties among Muslim voters and other voters</c:v>
          </c:tx>
          <c:spPr>
            <a:solidFill>
              <a:schemeClr val="accent6"/>
            </a:solidFill>
            <a:ln>
              <a:solidFill>
                <a:schemeClr val="accent6"/>
              </a:solidFill>
            </a:ln>
          </c:spPr>
          <c:invertIfNegative val="0"/>
          <c:cat>
            <c:numRef>
              <c:f>DataG14.14!$A$22:$A$23</c:f>
              <c:numCache>
                <c:formatCode>General</c:formatCode>
                <c:ptCount val="2"/>
                <c:pt idx="0">
                  <c:v>2007</c:v>
                </c:pt>
                <c:pt idx="1">
                  <c:v>2012</c:v>
                </c:pt>
              </c:numCache>
            </c:numRef>
          </c:cat>
          <c:val>
            <c:numRef>
              <c:f>DataG14.14!$AP$22:$AP$23</c:f>
              <c:numCache>
                <c:formatCode>0%</c:formatCode>
                <c:ptCount val="2"/>
                <c:pt idx="0">
                  <c:v>0.48937728023788574</c:v>
                </c:pt>
                <c:pt idx="1">
                  <c:v>0.4151543116134937</c:v>
                </c:pt>
              </c:numCache>
            </c:numRef>
          </c:val>
        </c:ser>
        <c:ser>
          <c:idx val="7"/>
          <c:order val="1"/>
          <c:tx>
            <c:v>After controls for age, sex, family sit., education, income, wealth, father's occupation</c:v>
          </c:tx>
          <c:spPr>
            <a:solidFill>
              <a:srgbClr val="00B050"/>
            </a:solidFill>
            <a:ln>
              <a:solidFill>
                <a:srgbClr val="00B050"/>
              </a:solidFill>
            </a:ln>
          </c:spPr>
          <c:invertIfNegative val="0"/>
          <c:cat>
            <c:numRef>
              <c:f>DataG14.14!$A$22:$A$23</c:f>
              <c:numCache>
                <c:formatCode>General</c:formatCode>
                <c:ptCount val="2"/>
                <c:pt idx="0">
                  <c:v>2007</c:v>
                </c:pt>
                <c:pt idx="1">
                  <c:v>2012</c:v>
                </c:pt>
              </c:numCache>
            </c:numRef>
          </c:cat>
          <c:val>
            <c:numRef>
              <c:f>DataG14.14!$AQ$22:$AQ$23</c:f>
              <c:numCache>
                <c:formatCode>0%</c:formatCode>
                <c:ptCount val="2"/>
                <c:pt idx="0">
                  <c:v>0.41598260962404848</c:v>
                </c:pt>
                <c:pt idx="1">
                  <c:v>0.38494387847892403</c:v>
                </c:pt>
              </c:numCache>
            </c:numRef>
          </c:val>
        </c:ser>
        <c:ser>
          <c:idx val="8"/>
          <c:order val="2"/>
          <c:tx>
            <c:v>After controls for age, sex, family sit., education, income, wealth, father's occupation, foreign origins (detailed geographical areas)</c:v>
          </c:tx>
          <c:spPr>
            <a:solidFill>
              <a:srgbClr val="FFFF00"/>
            </a:solidFill>
            <a:ln>
              <a:solidFill>
                <a:srgbClr val="FFFF00"/>
              </a:solidFill>
            </a:ln>
          </c:spPr>
          <c:invertIfNegative val="0"/>
          <c:cat>
            <c:numRef>
              <c:f>DataG14.14!$A$22:$A$23</c:f>
              <c:numCache>
                <c:formatCode>General</c:formatCode>
                <c:ptCount val="2"/>
                <c:pt idx="0">
                  <c:v>2007</c:v>
                </c:pt>
                <c:pt idx="1">
                  <c:v>2012</c:v>
                </c:pt>
              </c:numCache>
            </c:numRef>
          </c:cat>
          <c:val>
            <c:numRef>
              <c:f>DataG14.14!$AR$22:$AR$23</c:f>
              <c:numCache>
                <c:formatCode>0%</c:formatCode>
                <c:ptCount val="2"/>
                <c:pt idx="0">
                  <c:v>0.33071861991802354</c:v>
                </c:pt>
                <c:pt idx="1">
                  <c:v>0.25502412755826248</c:v>
                </c:pt>
              </c:numCache>
            </c:numRef>
          </c:val>
        </c:ser>
        <c:dLbls>
          <c:showLegendKey val="0"/>
          <c:showVal val="0"/>
          <c:showCatName val="0"/>
          <c:showSerName val="0"/>
          <c:showPercent val="0"/>
          <c:showBubbleSize val="0"/>
        </c:dLbls>
        <c:gapWidth val="150"/>
        <c:axId val="425677232"/>
        <c:axId val="425676448"/>
        <c:extLst/>
      </c:barChart>
      <c:catAx>
        <c:axId val="42567723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25676448"/>
        <c:crosses val="autoZero"/>
        <c:auto val="1"/>
        <c:lblAlgn val="ctr"/>
        <c:lblOffset val="100"/>
        <c:noMultiLvlLbl val="0"/>
      </c:catAx>
      <c:valAx>
        <c:axId val="425676448"/>
        <c:scaling>
          <c:orientation val="minMax"/>
          <c:max val="0.70000000000000007"/>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25677232"/>
        <c:crosses val="autoZero"/>
        <c:crossBetween val="between"/>
        <c:majorUnit val="0.1"/>
      </c:valAx>
      <c:spPr>
        <a:ln w="25400">
          <a:solidFill>
            <a:schemeClr val="tx1"/>
          </a:solidFill>
        </a:ln>
      </c:spPr>
    </c:plotArea>
    <c:legend>
      <c:legendPos val="t"/>
      <c:layout>
        <c:manualLayout>
          <c:xMode val="edge"/>
          <c:yMode val="edge"/>
          <c:x val="0.12503312709564887"/>
          <c:y val="6.6645444351735597E-2"/>
          <c:w val="0.79551213465248283"/>
          <c:h val="0.19449282422226549"/>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panose="020B0604020202020204" pitchFamily="34" charset="0"/>
                <a:cs typeface="Arial" panose="020B0604020202020204" pitchFamily="34" charset="0"/>
              </a:rPr>
              <a:t>Social cleavages and political conflict in France </a:t>
            </a:r>
            <a:r>
              <a:rPr lang="fr-FR" sz="2000" b="0" i="0" baseline="0">
                <a:effectLst/>
                <a:latin typeface="Arial Narrow" panose="020B0606020202030204" pitchFamily="34" charset="0"/>
                <a:cs typeface="Arial" panose="020B0604020202020204" pitchFamily="34" charset="0"/>
              </a:rPr>
              <a:t>(variants)</a:t>
            </a:r>
            <a:endParaRPr lang="fr-FR" sz="2000" b="0" baseline="0">
              <a:latin typeface="Arial Narrow" panose="020B0606020202030204" pitchFamily="34" charset="0"/>
              <a:cs typeface="Arial" panose="020B0604020202020204" pitchFamily="34" charset="0"/>
            </a:endParaRPr>
          </a:p>
        </c:rich>
      </c:tx>
      <c:layout>
        <c:manualLayout>
          <c:xMode val="edge"/>
          <c:yMode val="edge"/>
          <c:x val="0.13825798337707787"/>
          <c:y val="2.2425906554935926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Difference between % vote for left parties among university graduates and non-university graduates (before controls)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DataG14.1!$T$6:$T$71</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top 10% income voters and bottom 90% income voters (before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Difference between % vote for left parties among top 10% wealth voters and bottom 90% wealth voters (before controls)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DataG14.1!$U$6:$U$71</c:f>
              <c:numCache>
                <c:formatCode>0%</c:formatCode>
                <c:ptCount val="66"/>
                <c:pt idx="1">
                  <c:v>-0.20611654307943406</c:v>
                </c:pt>
                <c:pt idx="3">
                  <c:v>-0.24794174779346864</c:v>
                </c:pt>
                <c:pt idx="7">
                  <c:v>-0.1767255028208668</c:v>
                </c:pt>
                <c:pt idx="10">
                  <c:v>-0.1029478963992809</c:v>
                </c:pt>
                <c:pt idx="12">
                  <c:v>-8.9585050000814764E-2</c:v>
                </c:pt>
                <c:pt idx="18">
                  <c:v>-6.8407599162655819E-2</c:v>
                </c:pt>
                <c:pt idx="19">
                  <c:v>-2.760592926601408E-2</c:v>
                </c:pt>
                <c:pt idx="23">
                  <c:v>-3.8400005612206772E-2</c:v>
                </c:pt>
                <c:pt idx="26">
                  <c:v>-3.5325147652120553E-2</c:v>
                </c:pt>
                <c:pt idx="31">
                  <c:v>-4.361657725225912E-2</c:v>
                </c:pt>
                <c:pt idx="33">
                  <c:v>-6.0783166336245489E-2</c:v>
                </c:pt>
                <c:pt idx="38">
                  <c:v>1.9227500453836963E-2</c:v>
                </c:pt>
                <c:pt idx="40">
                  <c:v>-2.7277656870339367E-3</c:v>
                </c:pt>
                <c:pt idx="42">
                  <c:v>-7.150694557903417E-3</c:v>
                </c:pt>
                <c:pt idx="47">
                  <c:v>7.3613478688486861E-2</c:v>
                </c:pt>
                <c:pt idx="52">
                  <c:v>8.19410160202131E-2</c:v>
                </c:pt>
                <c:pt idx="57">
                  <c:v>4.5523045309174184E-2</c:v>
                </c:pt>
                <c:pt idx="62">
                  <c:v>6.9493010693548851E-2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DataG14.1!$V$6:$V$71</c:f>
              <c:numCache>
                <c:formatCode>0%</c:formatCode>
                <c:ptCount val="66"/>
                <c:pt idx="1">
                  <c:v>-0.1357918618780225</c:v>
                </c:pt>
                <c:pt idx="3">
                  <c:v>-0.17761706659205709</c:v>
                </c:pt>
                <c:pt idx="7">
                  <c:v>-9.732699606470982E-2</c:v>
                </c:pt>
                <c:pt idx="10">
                  <c:v>-3.30415132376475E-2</c:v>
                </c:pt>
                <c:pt idx="12">
                  <c:v>-1.1328452403236669E-2</c:v>
                </c:pt>
                <c:pt idx="18">
                  <c:v>-8.8951442445781535E-3</c:v>
                </c:pt>
                <c:pt idx="19">
                  <c:v>2.9216234895691313E-2</c:v>
                </c:pt>
                <c:pt idx="23">
                  <c:v>1.2250289692034313E-2</c:v>
                </c:pt>
                <c:pt idx="26">
                  <c:v>1.5325147652120532E-2</c:v>
                </c:pt>
                <c:pt idx="31">
                  <c:v>1.0273119298966817E-2</c:v>
                </c:pt>
                <c:pt idx="33">
                  <c:v>-8.2521693138817159E-3</c:v>
                </c:pt>
                <c:pt idx="38">
                  <c:v>8.1539956320411847E-2</c:v>
                </c:pt>
                <c:pt idx="40">
                  <c:v>5.0074765522702971E-2</c:v>
                </c:pt>
                <c:pt idx="42">
                  <c:v>4.5651836651833491E-2</c:v>
                </c:pt>
                <c:pt idx="47">
                  <c:v>0.12281814066031563</c:v>
                </c:pt>
                <c:pt idx="52">
                  <c:v>0.13573284943353314</c:v>
                </c:pt>
                <c:pt idx="57">
                  <c:v>0.10621824765184118</c:v>
                </c:pt>
                <c:pt idx="62">
                  <c:v>0.12328484410686891</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429964840"/>
        <c:axId val="429959352"/>
      </c:lineChart>
      <c:catAx>
        <c:axId val="4299648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59352"/>
        <c:crossesAt val="0"/>
        <c:auto val="1"/>
        <c:lblAlgn val="ctr"/>
        <c:lblOffset val="100"/>
        <c:tickLblSkip val="5"/>
        <c:tickMarkSkip val="5"/>
        <c:noMultiLvlLbl val="0"/>
      </c:catAx>
      <c:valAx>
        <c:axId val="429959352"/>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29964840"/>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cleavage over migration in France (1985-2020)</a:t>
            </a:r>
            <a:endParaRPr lang="fr-FR" sz="2000" b="0" baseline="0">
              <a:latin typeface="Arial" panose="020B0604020202020204" pitchFamily="34" charset="0"/>
              <a:cs typeface="Arial" panose="020B0604020202020204" pitchFamily="34" charset="0"/>
            </a:endParaRPr>
          </a:p>
        </c:rich>
      </c:tx>
      <c:layout>
        <c:manualLayout>
          <c:xMode val="edge"/>
          <c:yMode val="edge"/>
          <c:x val="0.18913299963014704"/>
          <c:y val="2.2407070185838304E-3"/>
        </c:manualLayout>
      </c:layout>
      <c:overlay val="0"/>
      <c:spPr>
        <a:noFill/>
        <a:ln w="25400">
          <a:noFill/>
        </a:ln>
      </c:spPr>
    </c:title>
    <c:autoTitleDeleted val="0"/>
    <c:plotArea>
      <c:layout>
        <c:manualLayout>
          <c:layoutTarget val="inner"/>
          <c:xMode val="edge"/>
          <c:yMode val="edge"/>
          <c:x val="7.9314069897553602E-2"/>
          <c:y val="6.1175743928945599E-2"/>
          <c:w val="0.881790953490451"/>
          <c:h val="0.72402627864231273"/>
        </c:manualLayout>
      </c:layout>
      <c:lineChart>
        <c:grouping val="standard"/>
        <c:varyColors val="0"/>
        <c:ser>
          <c:idx val="0"/>
          <c:order val="0"/>
          <c:tx>
            <c:v>% voters believing that there are too many migrants in France</c:v>
          </c:tx>
          <c:spPr>
            <a:ln w="38100">
              <a:solidFill>
                <a:schemeClr val="accent1"/>
              </a:solidFill>
            </a:ln>
          </c:spPr>
          <c:marker>
            <c:symbol val="diamond"/>
            <c:size val="12"/>
            <c:spPr>
              <a:solidFill>
                <a:schemeClr val="accent1"/>
              </a:solidFill>
              <a:ln>
                <a:solidFill>
                  <a:schemeClr val="accent1"/>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DataG14.15!$DC$36:$DC$71</c:f>
              <c:numCache>
                <c:formatCode>0%</c:formatCode>
                <c:ptCount val="36"/>
                <c:pt idx="1">
                  <c:v>0.72</c:v>
                </c:pt>
                <c:pt idx="3">
                  <c:v>0.7</c:v>
                </c:pt>
                <c:pt idx="8">
                  <c:v>0.75</c:v>
                </c:pt>
                <c:pt idx="10">
                  <c:v>0.76</c:v>
                </c:pt>
                <c:pt idx="12">
                  <c:v>0.64</c:v>
                </c:pt>
                <c:pt idx="17">
                  <c:v>0.61</c:v>
                </c:pt>
                <c:pt idx="22">
                  <c:v>0.49</c:v>
                </c:pt>
                <c:pt idx="27">
                  <c:v>0.5</c:v>
                </c:pt>
                <c:pt idx="32">
                  <c:v>0.55800000000000005</c:v>
                </c:pt>
              </c:numCache>
            </c:numRef>
          </c:val>
          <c:smooth val="0"/>
        </c:ser>
        <c:ser>
          <c:idx val="6"/>
          <c:order val="1"/>
          <c:tx>
            <c:v>% voters believing that there are not too many migrants in France</c:v>
          </c:tx>
          <c:spPr>
            <a:ln w="38100">
              <a:solidFill>
                <a:schemeClr val="accent2"/>
              </a:solidFill>
            </a:ln>
          </c:spPr>
          <c:marker>
            <c:symbol val="triangle"/>
            <c:size val="9"/>
            <c:spPr>
              <a:solidFill>
                <a:schemeClr val="accent2"/>
              </a:solidFill>
              <a:ln w="12700">
                <a:solidFill>
                  <a:schemeClr val="accent2"/>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DataG14.15!$DD$36:$DD$71</c:f>
              <c:numCache>
                <c:formatCode>0%</c:formatCode>
                <c:ptCount val="36"/>
                <c:pt idx="1">
                  <c:v>0.28000000000000003</c:v>
                </c:pt>
                <c:pt idx="3">
                  <c:v>0.30000000000000004</c:v>
                </c:pt>
                <c:pt idx="8">
                  <c:v>0.25</c:v>
                </c:pt>
                <c:pt idx="10">
                  <c:v>0.24</c:v>
                </c:pt>
                <c:pt idx="12">
                  <c:v>0.36</c:v>
                </c:pt>
                <c:pt idx="17">
                  <c:v>0.39</c:v>
                </c:pt>
                <c:pt idx="22">
                  <c:v>0.51</c:v>
                </c:pt>
                <c:pt idx="27">
                  <c:v>0.5</c:v>
                </c:pt>
                <c:pt idx="32">
                  <c:v>0.44199999999999995</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425674880"/>
        <c:axId val="425674488"/>
      </c:lineChart>
      <c:catAx>
        <c:axId val="4256748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5674488"/>
        <c:crossesAt val="0"/>
        <c:auto val="1"/>
        <c:lblAlgn val="ctr"/>
        <c:lblOffset val="100"/>
        <c:tickLblSkip val="5"/>
        <c:tickMarkSkip val="5"/>
        <c:noMultiLvlLbl val="0"/>
      </c:catAx>
      <c:valAx>
        <c:axId val="425674488"/>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567488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10520654374685896"/>
          <c:y val="0.34390543733547146"/>
          <c:w val="0.40820996003594623"/>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cleavage over inequality in France (2000-2020)</a:t>
            </a:r>
            <a:endParaRPr lang="fr-FR" sz="2000" b="0" baseline="0">
              <a:latin typeface="Arial" panose="020B0604020202020204" pitchFamily="34" charset="0"/>
              <a:cs typeface="Arial" panose="020B0604020202020204" pitchFamily="34" charset="0"/>
            </a:endParaRPr>
          </a:p>
        </c:rich>
      </c:tx>
      <c:layout>
        <c:manualLayout>
          <c:xMode val="edge"/>
          <c:yMode val="edge"/>
          <c:x val="0.19046103337947648"/>
          <c:y val="2.2339546897411511E-3"/>
        </c:manualLayout>
      </c:layout>
      <c:overlay val="0"/>
      <c:spPr>
        <a:noFill/>
        <a:ln w="25400">
          <a:noFill/>
        </a:ln>
      </c:spPr>
    </c:title>
    <c:autoTitleDeleted val="0"/>
    <c:plotArea>
      <c:layout>
        <c:manualLayout>
          <c:layoutTarget val="inner"/>
          <c:xMode val="edge"/>
          <c:yMode val="edge"/>
          <c:x val="7.9314069897553602E-2"/>
          <c:y val="6.7935827662790105E-2"/>
          <c:w val="0.881790953490451"/>
          <c:h val="0.71726618322181468"/>
        </c:manualLayout>
      </c:layout>
      <c:lineChart>
        <c:grouping val="standard"/>
        <c:varyColors val="0"/>
        <c:ser>
          <c:idx val="0"/>
          <c:order val="0"/>
          <c:tx>
            <c:v>% voters believing that we should reduce the gap betwen the rich and the poor</c:v>
          </c:tx>
          <c:spPr>
            <a:ln w="38100">
              <a:solidFill>
                <a:schemeClr val="accent2"/>
              </a:solidFill>
            </a:ln>
          </c:spPr>
          <c:marker>
            <c:symbol val="diamond"/>
            <c:size val="12"/>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DataG14.15!$DJ$51:$DJ$71</c:f>
              <c:numCache>
                <c:formatCode>General</c:formatCode>
                <c:ptCount val="21"/>
                <c:pt idx="2" formatCode="0%">
                  <c:v>0.628</c:v>
                </c:pt>
                <c:pt idx="7" formatCode="0%">
                  <c:v>0.55899999999999994</c:v>
                </c:pt>
                <c:pt idx="12" formatCode="0%">
                  <c:v>0.60499999999999998</c:v>
                </c:pt>
                <c:pt idx="17" formatCode="0%">
                  <c:v>0.51700000000000002</c:v>
                </c:pt>
              </c:numCache>
            </c:numRef>
          </c:val>
          <c:smooth val="0"/>
        </c:ser>
        <c:ser>
          <c:idx val="6"/>
          <c:order val="1"/>
          <c:tx>
            <c:v>% voters believing that we should not reduce the gap between the rich and the poor</c:v>
          </c:tx>
          <c:spPr>
            <a:ln w="38100">
              <a:solidFill>
                <a:schemeClr val="accent1"/>
              </a:solidFill>
            </a:ln>
          </c:spPr>
          <c:marker>
            <c:symbol val="triangle"/>
            <c:size val="9"/>
            <c:spPr>
              <a:solidFill>
                <a:schemeClr val="accent1"/>
              </a:solidFill>
              <a:ln w="12700">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DataG14.15!$DK$51:$DK$71</c:f>
              <c:numCache>
                <c:formatCode>General</c:formatCode>
                <c:ptCount val="21"/>
                <c:pt idx="2" formatCode="0%">
                  <c:v>0.372</c:v>
                </c:pt>
                <c:pt idx="7" formatCode="0%">
                  <c:v>0.441</c:v>
                </c:pt>
                <c:pt idx="12" formatCode="0%">
                  <c:v>0.39500000000000002</c:v>
                </c:pt>
                <c:pt idx="17" formatCode="0%">
                  <c:v>0.48199999999999998</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425673704"/>
        <c:axId val="425673312"/>
      </c:lineChart>
      <c:catAx>
        <c:axId val="4256737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5673312"/>
        <c:crossesAt val="0"/>
        <c:auto val="1"/>
        <c:lblAlgn val="ctr"/>
        <c:lblOffset val="100"/>
        <c:tickLblSkip val="5"/>
        <c:tickMarkSkip val="5"/>
        <c:noMultiLvlLbl val="0"/>
      </c:catAx>
      <c:valAx>
        <c:axId val="425673312"/>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5673704"/>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2806051548916183"/>
          <c:y val="9.3597991289931431E-2"/>
          <c:w val="0.47781254377567212"/>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Borders and property: </a:t>
            </a:r>
          </a:p>
          <a:p>
            <a:pPr>
              <a:defRPr sz="1800" b="1" i="0" u="none" strike="noStrike" baseline="0">
                <a:solidFill>
                  <a:srgbClr val="000000"/>
                </a:solidFill>
                <a:latin typeface="Arial"/>
                <a:ea typeface="Arial"/>
                <a:cs typeface="Arial"/>
              </a:defRPr>
            </a:pPr>
            <a:r>
              <a:rPr lang="fr-FR" sz="2000" b="1" baseline="0">
                <a:latin typeface="Arial"/>
                <a:cs typeface="Arial"/>
              </a:rPr>
              <a:t>the four-way ideological divide in France</a:t>
            </a:r>
            <a:endParaRPr lang="fr-FR" sz="2000" b="0" baseline="0">
              <a:latin typeface="Arial" panose="020B0604020202020204" pitchFamily="34" charset="0"/>
              <a:cs typeface="Arial" panose="020B0604020202020204" pitchFamily="34" charset="0"/>
            </a:endParaRPr>
          </a:p>
        </c:rich>
      </c:tx>
      <c:layout>
        <c:manualLayout>
          <c:xMode val="edge"/>
          <c:yMode val="edge"/>
          <c:x val="0.23083442586044792"/>
          <c:y val="2.2440136700525742E-3"/>
        </c:manualLayout>
      </c:layout>
      <c:overlay val="0"/>
      <c:spPr>
        <a:noFill/>
        <a:ln w="25400">
          <a:noFill/>
        </a:ln>
      </c:spPr>
    </c:title>
    <c:autoTitleDeleted val="0"/>
    <c:plotArea>
      <c:layout>
        <c:manualLayout>
          <c:layoutTarget val="inner"/>
          <c:xMode val="edge"/>
          <c:yMode val="edge"/>
          <c:x val="9.1842593260404393E-2"/>
          <c:y val="0.11079487704364563"/>
          <c:w val="0.87065452124458709"/>
          <c:h val="0.66540593579459273"/>
        </c:manualLayout>
      </c:layout>
      <c:lineChart>
        <c:grouping val="standard"/>
        <c:varyColors val="0"/>
        <c:ser>
          <c:idx val="0"/>
          <c:order val="0"/>
          <c:tx>
            <c:v>Internationalists-egalitarians (pro-migrants, pro-poor)</c:v>
          </c:tx>
          <c:spPr>
            <a:ln w="38100">
              <a:solidFill>
                <a:schemeClr val="accent2"/>
              </a:solidFill>
            </a:ln>
          </c:spPr>
          <c:marker>
            <c:symbol val="diamond"/>
            <c:size val="13"/>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Internationalists-inegalitarians (pro-migrants, pro-rich)</c:v>
          </c:tx>
          <c:spPr>
            <a:ln w="38100">
              <a:solidFill>
                <a:schemeClr val="accent6"/>
              </a:solidFill>
            </a:ln>
          </c:spPr>
          <c:marker>
            <c:symbol val="triangle"/>
            <c:size val="11"/>
            <c:spPr>
              <a:solidFill>
                <a:schemeClr val="accent6"/>
              </a:solidFill>
              <a:ln w="12700">
                <a:solidFill>
                  <a:schemeClr val="accent6"/>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Nativists-inegalitarians (anti-migrants, pro-rich)</c:v>
          </c:tx>
          <c:spPr>
            <a:ln w="41275">
              <a:solidFill>
                <a:schemeClr val="accent1"/>
              </a:solidFill>
            </a:ln>
          </c:spPr>
          <c:marker>
            <c:symbol val="square"/>
            <c:size val="10"/>
            <c:spPr>
              <a:solidFill>
                <a:schemeClr val="accent1"/>
              </a:solidFill>
              <a:ln>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Nativists-egalitarians (anti-migrants, pro-poor)</c:v>
          </c:tx>
          <c:spPr>
            <a:ln w="41275">
              <a:solidFill>
                <a:schemeClr val="accent4"/>
              </a:solidFill>
            </a:ln>
          </c:spPr>
          <c:marker>
            <c:symbol val="triangle"/>
            <c:size val="11"/>
            <c:spPr>
              <a:solidFill>
                <a:schemeClr val="accent4"/>
              </a:solidFill>
              <a:ln>
                <a:solidFill>
                  <a:schemeClr val="accent4"/>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ser>
          <c:idx val="4"/>
          <c:order val="5"/>
          <c:tx>
            <c:v>IE-se</c:v>
          </c:tx>
          <c:spPr>
            <a:ln w="12700">
              <a:solidFill>
                <a:schemeClr val="accent2"/>
              </a:solidFill>
            </a:ln>
          </c:spPr>
          <c:marker>
            <c:symbol val="none"/>
          </c:marker>
          <c:val>
            <c:numRef>
              <c:f>DataG14.15!$DR$51:$DR$71</c:f>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ser>
        <c:ser>
          <c:idx val="5"/>
          <c:order val="6"/>
          <c:tx>
            <c:v>II-se</c:v>
          </c:tx>
          <c:spPr>
            <a:ln w="12700">
              <a:solidFill>
                <a:schemeClr val="accent6"/>
              </a:solidFill>
            </a:ln>
          </c:spPr>
          <c:marker>
            <c:symbol val="none"/>
          </c:marker>
          <c:val>
            <c:numRef>
              <c:f>DataG14.15!$DS$51:$DS$71</c:f>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ser>
        <c:ser>
          <c:idx val="7"/>
          <c:order val="7"/>
          <c:tx>
            <c:v>IN-se</c:v>
          </c:tx>
          <c:spPr>
            <a:ln w="12700">
              <a:solidFill>
                <a:schemeClr val="accent1"/>
              </a:solidFill>
            </a:ln>
          </c:spPr>
          <c:marker>
            <c:spPr>
              <a:solidFill>
                <a:schemeClr val="accent1"/>
              </a:solidFill>
              <a:ln>
                <a:solidFill>
                  <a:schemeClr val="accent1"/>
                </a:solidFill>
              </a:ln>
            </c:spPr>
          </c:marker>
          <c:val>
            <c:numRef>
              <c:f>DataG14.15!$DT$51:$DT$71</c:f>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ser>
        <c:ser>
          <c:idx val="8"/>
          <c:order val="8"/>
          <c:tx>
            <c:v>NE-se</c:v>
          </c:tx>
          <c:spPr>
            <a:ln w="12700">
              <a:solidFill>
                <a:schemeClr val="accent4"/>
              </a:solidFill>
            </a:ln>
          </c:spPr>
          <c:marker>
            <c:spPr>
              <a:solidFill>
                <a:schemeClr val="accent4"/>
              </a:solidFill>
              <a:ln>
                <a:solidFill>
                  <a:schemeClr val="accent4"/>
                </a:solidFill>
              </a:ln>
            </c:spPr>
          </c:marker>
          <c:val>
            <c:numRef>
              <c:f>DataG14.15!$DU$51:$DU$71</c:f>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ser>
        <c:ser>
          <c:idx val="9"/>
          <c:order val="9"/>
          <c:tx>
            <c:v>EI+se</c:v>
          </c:tx>
          <c:spPr>
            <a:ln w="12700">
              <a:solidFill>
                <a:schemeClr val="accent2"/>
              </a:solidFill>
            </a:ln>
          </c:spPr>
          <c:marker>
            <c:symbol val="none"/>
          </c:marker>
          <c:val>
            <c:numRef>
              <c:f>DataG14.15!$DV$51:$DV$71</c:f>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ser>
        <c:ser>
          <c:idx val="10"/>
          <c:order val="10"/>
          <c:tx>
            <c:v>II+se</c:v>
          </c:tx>
          <c:spPr>
            <a:ln w="12700">
              <a:solidFill>
                <a:schemeClr val="accent6"/>
              </a:solidFill>
            </a:ln>
          </c:spPr>
          <c:marker>
            <c:symbol val="none"/>
          </c:marker>
          <c:val>
            <c:numRef>
              <c:f>DataG14.15!$DW$51:$DW$71</c:f>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ser>
        <c:ser>
          <c:idx val="11"/>
          <c:order val="11"/>
          <c:tx>
            <c:v>NI+se</c:v>
          </c:tx>
          <c:spPr>
            <a:ln w="12700">
              <a:solidFill>
                <a:schemeClr val="accent1"/>
              </a:solidFill>
            </a:ln>
          </c:spPr>
          <c:marker>
            <c:symbol val="none"/>
          </c:marker>
          <c:val>
            <c:numRef>
              <c:f>DataG14.15!$DX$51:$DX$71</c:f>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ser>
        <c:ser>
          <c:idx val="12"/>
          <c:order val="12"/>
          <c:tx>
            <c:v>NE+se</c:v>
          </c:tx>
          <c:spPr>
            <a:ln w="12700">
              <a:solidFill>
                <a:schemeClr val="accent4"/>
              </a:solidFill>
            </a:ln>
          </c:spPr>
          <c:marker>
            <c:symbol val="none"/>
          </c:marker>
          <c:val>
            <c:numRef>
              <c:f>DataG14.15!$DY$51:$DY$71</c:f>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ser>
        <c:dLbls>
          <c:showLegendKey val="0"/>
          <c:showVal val="0"/>
          <c:showCatName val="0"/>
          <c:showSerName val="0"/>
          <c:showPercent val="0"/>
          <c:showBubbleSize val="0"/>
        </c:dLbls>
        <c:marker val="1"/>
        <c:smooth val="0"/>
        <c:axId val="425672528"/>
        <c:axId val="425672136"/>
      </c:lineChart>
      <c:catAx>
        <c:axId val="4256725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5672136"/>
        <c:crossesAt val="0"/>
        <c:auto val="1"/>
        <c:lblAlgn val="ctr"/>
        <c:lblOffset val="100"/>
        <c:tickLblSkip val="5"/>
        <c:tickMarkSkip val="5"/>
        <c:noMultiLvlLbl val="0"/>
      </c:catAx>
      <c:valAx>
        <c:axId val="425672136"/>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of each ideological group in the electorate</a:t>
                </a:r>
                <a:endParaRPr lang="fr-FR" sz="1200"/>
              </a:p>
            </c:rich>
          </c:tx>
          <c:layout>
            <c:manualLayout>
              <c:xMode val="edge"/>
              <c:yMode val="edge"/>
              <c:x val="2.5828840373717056E-4"/>
              <c:y val="0.1449452073937036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5672528"/>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0.2123945739321367"/>
          <c:y val="0.12065826058222551"/>
          <c:w val="0.55506094450445009"/>
          <c:h val="0.17552135852495254"/>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Vote and migration cleavage in France (1985-2015)</a:t>
            </a:r>
            <a:endParaRPr lang="fr-FR" sz="2000" b="0" baseline="0">
              <a:latin typeface="Arial" panose="020B0604020202020204" pitchFamily="34" charset="0"/>
              <a:cs typeface="Arial" panose="020B0604020202020204" pitchFamily="34" charset="0"/>
            </a:endParaRPr>
          </a:p>
        </c:rich>
      </c:tx>
      <c:layout>
        <c:manualLayout>
          <c:xMode val="edge"/>
          <c:yMode val="edge"/>
          <c:x val="0.18354138135921647"/>
          <c:y val="2.2290985609938292E-3"/>
        </c:manualLayout>
      </c:layout>
      <c:overlay val="0"/>
      <c:spPr>
        <a:noFill/>
        <a:ln w="25400">
          <a:noFill/>
        </a:ln>
      </c:spPr>
    </c:title>
    <c:autoTitleDeleted val="0"/>
    <c:plotArea>
      <c:layout>
        <c:manualLayout>
          <c:layoutTarget val="inner"/>
          <c:xMode val="edge"/>
          <c:yMode val="edge"/>
          <c:x val="8.0705174295590279E-2"/>
          <c:y val="6.7935827662790119E-2"/>
          <c:w val="0.881790953490451"/>
          <c:h val="0.71726618322181468"/>
        </c:manualLayout>
      </c:layout>
      <c:lineChart>
        <c:grouping val="standard"/>
        <c:varyColors val="0"/>
        <c:ser>
          <c:idx val="6"/>
          <c:order val="0"/>
          <c:tx>
            <c:v>Difference between % vote for left parties among voters believing that there are not too many migrants in France and voters believing there are too many migrants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DataG14.15!$DB$36:$DB$66</c:f>
              <c:numCache>
                <c:formatCode>0%</c:formatCode>
                <c:ptCount val="31"/>
                <c:pt idx="1">
                  <c:v>0.33186906250178755</c:v>
                </c:pt>
                <c:pt idx="3">
                  <c:v>0.31150896595648209</c:v>
                </c:pt>
                <c:pt idx="8">
                  <c:v>0.37088743661286439</c:v>
                </c:pt>
                <c:pt idx="10">
                  <c:v>0.34329517509813734</c:v>
                </c:pt>
                <c:pt idx="12">
                  <c:v>0.32831578821787077</c:v>
                </c:pt>
                <c:pt idx="17">
                  <c:v>0.3811271165101931</c:v>
                </c:pt>
                <c:pt idx="22">
                  <c:v>0.33778409819790417</c:v>
                </c:pt>
                <c:pt idx="27">
                  <c:v>0.40340313316050352</c:v>
                </c:pt>
              </c:numCache>
            </c:numRef>
          </c:val>
          <c:smooth val="0"/>
          <c:extLst xmlns:c16r2="http://schemas.microsoft.com/office/drawing/2015/06/chart">
            <c:ext xmlns:c16="http://schemas.microsoft.com/office/drawing/2014/chart" uri="{C3380CC4-5D6E-409C-BE32-E72D297353CC}">
              <c16:uniqueId val="{00000005-F703-4C6F-8200-245D4BB88F2C}"/>
            </c:ext>
          </c:extLst>
        </c:ser>
        <c:ser>
          <c:idx val="0"/>
          <c:order val="1"/>
          <c:tx>
            <c:v>After controls for age, sexe, family situation</c:v>
          </c:tx>
          <c:spPr>
            <a:ln>
              <a:solidFill>
                <a:schemeClr val="accent2"/>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DataG14.15!$DF$36:$DF$66</c:f>
              <c:numCache>
                <c:formatCode>0%</c:formatCode>
                <c:ptCount val="31"/>
                <c:pt idx="1">
                  <c:v>0.31785050856704727</c:v>
                </c:pt>
                <c:pt idx="3">
                  <c:v>0.29631092076197385</c:v>
                </c:pt>
                <c:pt idx="8">
                  <c:v>0.36783404261339703</c:v>
                </c:pt>
                <c:pt idx="10">
                  <c:v>0.33581542231591088</c:v>
                </c:pt>
                <c:pt idx="12">
                  <c:v>0.32140439326702591</c:v>
                </c:pt>
                <c:pt idx="17">
                  <c:v>0.37116560883537825</c:v>
                </c:pt>
                <c:pt idx="22">
                  <c:v>0.32544561835697983</c:v>
                </c:pt>
                <c:pt idx="27">
                  <c:v>0.40888958907374967</c:v>
                </c:pt>
              </c:numCache>
            </c:numRef>
          </c:val>
          <c:smooth val="0"/>
        </c:ser>
        <c:ser>
          <c:idx val="1"/>
          <c:order val="2"/>
          <c:tx>
            <c:v>After controls for age, sex, family situation, education, income</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DataG14.15!$DG$36:$DG$66</c:f>
              <c:numCache>
                <c:formatCode>0%</c:formatCode>
                <c:ptCount val="31"/>
                <c:pt idx="1">
                  <c:v>0.34928867416577869</c:v>
                </c:pt>
                <c:pt idx="3">
                  <c:v>0.32536047815602848</c:v>
                </c:pt>
                <c:pt idx="8">
                  <c:v>0.39391116026983103</c:v>
                </c:pt>
                <c:pt idx="10">
                  <c:v>0.37225803263666862</c:v>
                </c:pt>
                <c:pt idx="12">
                  <c:v>0.34363831795581179</c:v>
                </c:pt>
                <c:pt idx="17">
                  <c:v>0.38080536165542467</c:v>
                </c:pt>
                <c:pt idx="22">
                  <c:v>0.32782594499795981</c:v>
                </c:pt>
                <c:pt idx="27">
                  <c:v>0.40673272496848889</c:v>
                </c:pt>
              </c:numCache>
            </c:numRef>
          </c:val>
          <c:smooth val="0"/>
        </c:ser>
        <c:ser>
          <c:idx val="2"/>
          <c:order val="3"/>
          <c:tx>
            <c:v>After controls for age, sex, family situation, education, income, wealth, father's occupation</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DataG14.15!$DI$36:$DI$66</c:f>
              <c:numCache>
                <c:formatCode>0%</c:formatCode>
                <c:ptCount val="31"/>
                <c:pt idx="1">
                  <c:v>0.3254061892904378</c:v>
                </c:pt>
                <c:pt idx="3">
                  <c:v>0.301775398251791</c:v>
                </c:pt>
                <c:pt idx="8">
                  <c:v>0.38101675686477188</c:v>
                </c:pt>
                <c:pt idx="10">
                  <c:v>0.35388836030679077</c:v>
                </c:pt>
                <c:pt idx="12">
                  <c:v>0.34363831795581123</c:v>
                </c:pt>
                <c:pt idx="17">
                  <c:v>0.3843250764643279</c:v>
                </c:pt>
                <c:pt idx="22">
                  <c:v>0.3282894789097337</c:v>
                </c:pt>
                <c:pt idx="27">
                  <c:v>0.39442628774976984</c:v>
                </c:pt>
              </c:numCache>
            </c:numRef>
          </c:val>
          <c:smooth val="0"/>
        </c:ser>
        <c:dLbls>
          <c:showLegendKey val="0"/>
          <c:showVal val="0"/>
          <c:showCatName val="0"/>
          <c:showSerName val="0"/>
          <c:showPercent val="0"/>
          <c:showBubbleSize val="0"/>
        </c:dLbls>
        <c:marker val="1"/>
        <c:smooth val="0"/>
        <c:axId val="429170232"/>
        <c:axId val="429169840"/>
      </c:lineChart>
      <c:catAx>
        <c:axId val="4291702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169840"/>
        <c:crossesAt val="0"/>
        <c:auto val="1"/>
        <c:lblAlgn val="ctr"/>
        <c:lblOffset val="100"/>
        <c:tickLblSkip val="5"/>
        <c:tickMarkSkip val="5"/>
        <c:noMultiLvlLbl val="0"/>
      </c:catAx>
      <c:valAx>
        <c:axId val="429169840"/>
        <c:scaling>
          <c:orientation val="minMax"/>
          <c:max val="0.5"/>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170232"/>
        <c:crosses val="autoZero"/>
        <c:crossBetween val="midCat"/>
        <c:majorUnit val="2.0000000000000004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8.9904899784264705E-2"/>
          <c:y val="9.6105682780843957E-2"/>
          <c:w val="0.85337473015171972"/>
          <c:h val="0.25058272370559059"/>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Wealth tax revenues (ISF) in France 1990-2022</a:t>
            </a:r>
            <a:endParaRPr lang="fr-FR" sz="2000" b="0" baseline="0">
              <a:latin typeface="Arial" panose="020B0604020202020204" pitchFamily="34" charset="0"/>
              <a:cs typeface="Arial" panose="020B0604020202020204" pitchFamily="34" charset="0"/>
            </a:endParaRPr>
          </a:p>
        </c:rich>
      </c:tx>
      <c:layout>
        <c:manualLayout>
          <c:xMode val="edge"/>
          <c:yMode val="edge"/>
          <c:x val="0.20320643164391922"/>
          <c:y val="2.2031746809631539E-3"/>
        </c:manualLayout>
      </c:layout>
      <c:overlay val="0"/>
      <c:spPr>
        <a:noFill/>
        <a:ln w="25400">
          <a:noFill/>
        </a:ln>
      </c:spPr>
    </c:title>
    <c:autoTitleDeleted val="0"/>
    <c:plotArea>
      <c:layout>
        <c:manualLayout>
          <c:layoutTarget val="inner"/>
          <c:xMode val="edge"/>
          <c:yMode val="edge"/>
          <c:x val="8.0710695624581386E-2"/>
          <c:y val="5.6677982148264083E-2"/>
          <c:w val="0.88587182852143487"/>
          <c:h val="0.61121690954358265"/>
        </c:manualLayout>
      </c:layout>
      <c:lineChart>
        <c:grouping val="standard"/>
        <c:varyColors val="0"/>
        <c:ser>
          <c:idx val="1"/>
          <c:order val="0"/>
          <c:tx>
            <c:v>Revenues in case ISF is maintained           High hypothesis (trend 1990-2007)</c:v>
          </c:tx>
          <c:spPr>
            <a:ln w="41275">
              <a:solidFill>
                <a:srgbClr val="00B05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DataGS14.20!$G$4:$G$36</c:f>
              <c:numCache>
                <c:formatCode>_-* #,##0\ _€_-;\-* #,##0\ _€_-;_-* "-"??\ _€_-;_-@_-</c:formatCode>
                <c:ptCount val="33"/>
                <c:pt idx="27" formatCode="_-* #,##0.0\ _€_-;\-* #,##0.0\ _€_-;_-* &quot;-&quot;??\ _€_-;_-@_-">
                  <c:v>4.2592669146975348</c:v>
                </c:pt>
                <c:pt idx="28" formatCode="_-* #,##0.0\ _€_-;\-* #,##0.0\ _€_-;_-* &quot;-&quot;??\ _€_-;_-@_-">
                  <c:v>4.6150593154671604</c:v>
                </c:pt>
                <c:pt idx="29" formatCode="_-* #,##0.0\ _€_-;\-* #,##0.0\ _€_-;_-* &quot;-&quot;??\ _€_-;_-@_-">
                  <c:v>4.928659794705383</c:v>
                </c:pt>
                <c:pt idx="30" formatCode="_-* #,##0.0\ _€_-;\-* #,##0.0\ _€_-;_-* &quot;-&quot;??\ _€_-;_-@_-">
                  <c:v>5.2635699156742852</c:v>
                </c:pt>
                <c:pt idx="31" formatCode="_-* #,##0.0\ _€_-;\-* #,##0.0\ _€_-;_-* &quot;-&quot;??\ _€_-;_-@_-">
                  <c:v>5.6212377017690907</c:v>
                </c:pt>
                <c:pt idx="32" formatCode="_-* #,##0.0\ _€_-;\-* #,##0.0\ _€_-;_-* &quot;-&quot;??\ _€_-;_-@_-">
                  <c:v>6.0032095718334109</c:v>
                </c:pt>
              </c:numCache>
            </c:numRef>
          </c:val>
          <c:smooth val="1"/>
        </c:ser>
        <c:ser>
          <c:idx val="2"/>
          <c:order val="1"/>
          <c:tx>
            <c:v>Median hypothesis (trend 2000-2017)</c:v>
          </c:tx>
          <c:spPr>
            <a:ln w="60325">
              <a:solidFill>
                <a:srgbClr val="FF000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DataGS14.20!$C$4:$C$36</c:f>
              <c:numCache>
                <c:formatCode>_-* #,##0.0\ _€_-;\-* #,##0.0\ _€_-;_-* "-"??\ _€_-;_-@_-</c:formatCode>
                <c:ptCount val="33"/>
                <c:pt idx="0">
                  <c:v>0.92409074999999996</c:v>
                </c:pt>
                <c:pt idx="1">
                  <c:v>0.98161754000000001</c:v>
                </c:pt>
                <c:pt idx="2">
                  <c:v>1.0693535999999999</c:v>
                </c:pt>
                <c:pt idx="3">
                  <c:v>1.033147</c:v>
                </c:pt>
                <c:pt idx="4">
                  <c:v>1.1891023000000001</c:v>
                </c:pt>
                <c:pt idx="5">
                  <c:v>1.2295318</c:v>
                </c:pt>
                <c:pt idx="6">
                  <c:v>1.3596927999999999</c:v>
                </c:pt>
                <c:pt idx="7">
                  <c:v>1.4359999999999999</c:v>
                </c:pt>
                <c:pt idx="8">
                  <c:v>1.5880000000000001</c:v>
                </c:pt>
                <c:pt idx="9">
                  <c:v>1.7869999999999999</c:v>
                </c:pt>
                <c:pt idx="10">
                  <c:v>2.238</c:v>
                </c:pt>
                <c:pt idx="11">
                  <c:v>2.395</c:v>
                </c:pt>
                <c:pt idx="12">
                  <c:v>2.2690000000000001</c:v>
                </c:pt>
                <c:pt idx="13">
                  <c:v>2.1560000000000001</c:v>
                </c:pt>
                <c:pt idx="14">
                  <c:v>2.44</c:v>
                </c:pt>
                <c:pt idx="15">
                  <c:v>2.8</c:v>
                </c:pt>
                <c:pt idx="16">
                  <c:v>3.319</c:v>
                </c:pt>
                <c:pt idx="17">
                  <c:v>4.0314449000000003</c:v>
                </c:pt>
                <c:pt idx="18">
                  <c:v>3.8102523000000001</c:v>
                </c:pt>
                <c:pt idx="19">
                  <c:v>3.2663141000000002</c:v>
                </c:pt>
                <c:pt idx="20">
                  <c:v>3.6168813000000002</c:v>
                </c:pt>
                <c:pt idx="21">
                  <c:v>3.8725955999999999</c:v>
                </c:pt>
                <c:pt idx="22">
                  <c:v>4.0470136999999999</c:v>
                </c:pt>
                <c:pt idx="23">
                  <c:v>3.6342300000000001</c:v>
                </c:pt>
                <c:pt idx="24">
                  <c:v>3.8024092999999999</c:v>
                </c:pt>
                <c:pt idx="25">
                  <c:v>3.8929603000000004</c:v>
                </c:pt>
                <c:pt idx="26">
                  <c:v>4.0464500000000001</c:v>
                </c:pt>
                <c:pt idx="27">
                  <c:v>4.2592669146975348</c:v>
                </c:pt>
                <c:pt idx="28">
                  <c:v>4.483276612990907</c:v>
                </c:pt>
                <c:pt idx="29">
                  <c:v>4.7190677623965183</c:v>
                </c:pt>
                <c:pt idx="30">
                  <c:v>4.9672599905080288</c:v>
                </c:pt>
                <c:pt idx="31">
                  <c:v>5.228505513294774</c:v>
                </c:pt>
                <c:pt idx="32">
                  <c:v>5.5034908490380658</c:v>
                </c:pt>
              </c:numCache>
            </c:numRef>
          </c:val>
          <c:smooth val="1"/>
        </c:ser>
        <c:ser>
          <c:idx val="3"/>
          <c:order val="2"/>
          <c:tx>
            <c:v>Low hypothesis (trend 2005-2017)</c:v>
          </c:tx>
          <c:spPr>
            <a:ln w="44450">
              <a:solidFill>
                <a:schemeClr val="accent1"/>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DataGS14.20!$I$4:$I$36</c:f>
              <c:numCache>
                <c:formatCode>_-* #,##0\ _€_-;\-* #,##0\ _€_-;_-* "-"??\ _€_-;_-@_-</c:formatCode>
                <c:ptCount val="33"/>
                <c:pt idx="27" formatCode="_-* #,##0.0\ _€_-;\-* #,##0.0\ _€_-;_-* &quot;-&quot;??\ _€_-;_-@_-">
                  <c:v>4.2592669146975348</c:v>
                </c:pt>
                <c:pt idx="28" formatCode="_-* #,##0.0\ _€_-;\-* #,##0.0\ _€_-;_-* &quot;-&quot;??\ _€_-;_-@_-">
                  <c:v>4.3190420859233711</c:v>
                </c:pt>
                <c:pt idx="29" formatCode="_-* #,##0.0\ _€_-;\-* #,##0.0\ _€_-;_-* &quot;-&quot;??\ _€_-;_-@_-">
                  <c:v>4.4621489649181116</c:v>
                </c:pt>
                <c:pt idx="30" formatCode="_-* #,##0.0\ _€_-;\-* #,##0.0\ _€_-;_-* &quot;-&quot;??\ _€_-;_-@_-">
                  <c:v>4.609997538577594</c:v>
                </c:pt>
                <c:pt idx="31" formatCode="_-* #,##0.0\ _€_-;\-* #,##0.0\ _€_-;_-* &quot;-&quot;??\ _€_-;_-@_-">
                  <c:v>4.7627449179257706</c:v>
                </c:pt>
                <c:pt idx="32" formatCode="_-* #,##0.0\ _€_-;\-* #,##0.0\ _€_-;_-* &quot;-&quot;??\ _€_-;_-@_-">
                  <c:v>4.9205534196937508</c:v>
                </c:pt>
              </c:numCache>
            </c:numRef>
          </c:val>
          <c:smooth val="1"/>
        </c:ser>
        <c:ser>
          <c:idx val="0"/>
          <c:order val="3"/>
          <c:tx>
            <c:v>Revenues after transformation in IFI</c:v>
          </c:tx>
          <c:spPr>
            <a:ln w="41275">
              <a:solidFill>
                <a:schemeClr val="accent6"/>
              </a:solidFill>
            </a:ln>
          </c:spPr>
          <c:marker>
            <c:symbol val="none"/>
          </c:marker>
          <c:val>
            <c:numRef>
              <c:f>DataGS14.20!$K$4:$K$36</c:f>
              <c:numCache>
                <c:formatCode>_-* #,##0\ _€_-;\-* #,##0\ _€_-;_-* "-"??\ _€_-;_-@_-</c:formatCode>
                <c:ptCount val="33"/>
                <c:pt idx="27" formatCode="_-* #,##0.0\ _€_-;\-* #,##0.0\ _€_-;_-* &quot;-&quot;??\ _€_-;_-@_-">
                  <c:v>4.2592669146975348</c:v>
                </c:pt>
                <c:pt idx="28" formatCode="_-* #,##0.0\ _€_-;\-* #,##0.0\ _€_-;_-* &quot;-&quot;??\ _€_-;_-@_-">
                  <c:v>1</c:v>
                </c:pt>
                <c:pt idx="29" formatCode="_-* #,##0.0\ _€_-;\-* #,##0.0\ _€_-;_-* &quot;-&quot;??\ _€_-;_-@_-">
                  <c:v>1.0525934868088163</c:v>
                </c:pt>
                <c:pt idx="30" formatCode="_-* #,##0.0\ _€_-;\-* #,##0.0\ _€_-;_-* &quot;-&quot;??\ _€_-;_-@_-">
                  <c:v>1.1079530484723414</c:v>
                </c:pt>
                <c:pt idx="31" formatCode="_-* #,##0.0\ _€_-;\-* #,##0.0\ _€_-;_-* &quot;-&quot;??\ _€_-;_-@_-">
                  <c:v>1.1662241625119594</c:v>
                </c:pt>
                <c:pt idx="32" formatCode="_-* #,##0.0\ _€_-;\-* #,##0.0\ _€_-;_-* &quot;-&quot;??\ _€_-;_-@_-">
                  <c:v>1.2275599576191549</c:v>
                </c:pt>
              </c:numCache>
            </c:numRef>
          </c:val>
          <c:smooth val="1"/>
        </c:ser>
        <c:dLbls>
          <c:showLegendKey val="0"/>
          <c:showVal val="0"/>
          <c:showCatName val="0"/>
          <c:showSerName val="0"/>
          <c:showPercent val="0"/>
          <c:showBubbleSize val="0"/>
        </c:dLbls>
        <c:smooth val="0"/>
        <c:axId val="429168664"/>
        <c:axId val="429169056"/>
      </c:lineChart>
      <c:catAx>
        <c:axId val="4291686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429169056"/>
        <c:crossesAt val="0"/>
        <c:auto val="1"/>
        <c:lblAlgn val="ctr"/>
        <c:lblOffset val="100"/>
        <c:tickLblSkip val="5"/>
        <c:tickMarkSkip val="5"/>
        <c:noMultiLvlLbl val="0"/>
      </c:catAx>
      <c:valAx>
        <c:axId val="429169056"/>
        <c:scaling>
          <c:orientation val="minMax"/>
          <c:max val="6.2"/>
          <c:min val="0"/>
        </c:scaling>
        <c:delete val="0"/>
        <c:axPos val="l"/>
        <c:majorGridlines>
          <c:spPr>
            <a:ln w="12700">
              <a:solidFill>
                <a:srgbClr val="000000"/>
              </a:solidFill>
              <a:prstDash val="sysDash"/>
            </a:ln>
          </c:spPr>
        </c:majorGridlines>
        <c:title>
          <c:tx>
            <c:rich>
              <a:bodyPr/>
              <a:lstStyle/>
              <a:p>
                <a:pPr>
                  <a:defRPr sz="1300"/>
                </a:pPr>
                <a:r>
                  <a:rPr lang="fr-FR" sz="1300"/>
                  <a:t>Wealth</a:t>
                </a:r>
                <a:r>
                  <a:rPr lang="fr-FR" sz="1300" baseline="0"/>
                  <a:t> tax revenues (ISF) in current billions euros</a:t>
                </a:r>
                <a:endParaRPr lang="fr-FR" sz="1300"/>
              </a:p>
            </c:rich>
          </c:tx>
          <c:layout>
            <c:manualLayout>
              <c:xMode val="edge"/>
              <c:yMode val="edge"/>
              <c:x val="1.3984784843023581E-3"/>
              <c:y val="3.7828800471885637E-2"/>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168664"/>
        <c:crosses val="autoZero"/>
        <c:crossBetween val="midCat"/>
        <c:majorUnit val="1"/>
        <c:minorUnit val="5.000000000000001E-2"/>
      </c:valAx>
      <c:spPr>
        <a:noFill/>
        <a:ln w="25400">
          <a:solidFill>
            <a:schemeClr val="tx1"/>
          </a:solidFill>
        </a:ln>
      </c:spPr>
    </c:plotArea>
    <c:legend>
      <c:legendPos val="l"/>
      <c:layout>
        <c:manualLayout>
          <c:xMode val="edge"/>
          <c:yMode val="edge"/>
          <c:x val="9.0960187117798977E-2"/>
          <c:y val="8.7946595475797515E-2"/>
          <c:w val="0.4194221579508543"/>
          <c:h val="0.2572715765500663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panose="020B0604020202020204" pitchFamily="34" charset="0"/>
                <a:cs typeface="Arial" panose="020B0604020202020204" pitchFamily="34" charset="0"/>
              </a:rPr>
              <a:t>Social cleavages and political conflict in France </a:t>
            </a:r>
            <a:r>
              <a:rPr lang="fr-FR" sz="2000" b="0" i="0" baseline="0">
                <a:effectLst/>
                <a:latin typeface="Arial Narrow" panose="020B0606020202030204" pitchFamily="34" charset="0"/>
                <a:cs typeface="Arial" panose="020B0604020202020204" pitchFamily="34" charset="0"/>
              </a:rPr>
              <a:t>(variants)</a:t>
            </a:r>
            <a:endParaRPr lang="fr-FR" sz="2000" b="0" baseline="0">
              <a:latin typeface="Arial Narrow" panose="020B0606020202030204" pitchFamily="34" charset="0"/>
              <a:cs typeface="Arial" panose="020B0604020202020204" pitchFamily="34" charset="0"/>
            </a:endParaRPr>
          </a:p>
        </c:rich>
      </c:tx>
      <c:layout>
        <c:manualLayout>
          <c:xMode val="edge"/>
          <c:yMode val="edge"/>
          <c:x val="0.13825798337707787"/>
          <c:y val="2.2425906554935926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Difference between % vote for left parties among top 10% education voters and bottom 90% education voters (after controls)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DataG14.1!$W$6:$W$71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top 10% income voters and bottom 90% income voters (after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Difference between % vote for left parties among top 10% wealth voters and bottom 90% wealth voters (after controls)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DataG14.1!$X$6:$X$71</c:f>
              <c:numCache>
                <c:formatCode>0%</c:formatCode>
                <c:ptCount val="66"/>
                <c:pt idx="1">
                  <c:v>-0.21093389470638985</c:v>
                </c:pt>
                <c:pt idx="3">
                  <c:v>-0.24058919473663204</c:v>
                </c:pt>
                <c:pt idx="7">
                  <c:v>-0.1116932989716453</c:v>
                </c:pt>
                <c:pt idx="10">
                  <c:v>-4.8623070244899924E-2</c:v>
                </c:pt>
                <c:pt idx="12">
                  <c:v>-2.5544839459327028E-2</c:v>
                </c:pt>
                <c:pt idx="18">
                  <c:v>-3.4135994558848581E-2</c:v>
                </c:pt>
                <c:pt idx="19">
                  <c:v>-1.296256323392881E-2</c:v>
                </c:pt>
                <c:pt idx="23">
                  <c:v>-2.5816146827103682E-2</c:v>
                </c:pt>
                <c:pt idx="31">
                  <c:v>-2.8541767740847233E-3</c:v>
                </c:pt>
                <c:pt idx="33">
                  <c:v>-1.8572652555127495E-2</c:v>
                </c:pt>
                <c:pt idx="38">
                  <c:v>4.9648828120243974E-2</c:v>
                </c:pt>
                <c:pt idx="40">
                  <c:v>3.654498133173327E-2</c:v>
                </c:pt>
                <c:pt idx="47">
                  <c:v>5.21114321745169E-2</c:v>
                </c:pt>
                <c:pt idx="52">
                  <c:v>7.5460291975311566E-2</c:v>
                </c:pt>
                <c:pt idx="57">
                  <c:v>9.3462737092036882E-2</c:v>
                </c:pt>
                <c:pt idx="62">
                  <c:v>9.9292563867156791E-2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DataG14.1!$Y$6:$Y$71</c:f>
              <c:numCache>
                <c:formatCode>0%</c:formatCode>
                <c:ptCount val="66"/>
                <c:pt idx="1">
                  <c:v>-0.14060921350497829</c:v>
                </c:pt>
                <c:pt idx="3">
                  <c:v>-0.17026451353522049</c:v>
                </c:pt>
                <c:pt idx="7">
                  <c:v>-3.2294792215488324E-2</c:v>
                </c:pt>
                <c:pt idx="10">
                  <c:v>2.1283312916733473E-2</c:v>
                </c:pt>
                <c:pt idx="12">
                  <c:v>5.2711758138251068E-2</c:v>
                </c:pt>
                <c:pt idx="18">
                  <c:v>2.5376460359229094E-2</c:v>
                </c:pt>
                <c:pt idx="19">
                  <c:v>4.3859600927776583E-2</c:v>
                </c:pt>
                <c:pt idx="23">
                  <c:v>2.4834148477137399E-2</c:v>
                </c:pt>
                <c:pt idx="31">
                  <c:v>5.1035519777141214E-2</c:v>
                </c:pt>
                <c:pt idx="33">
                  <c:v>3.3958344467236279E-2</c:v>
                </c:pt>
                <c:pt idx="38">
                  <c:v>0.11196128398681886</c:v>
                </c:pt>
                <c:pt idx="40">
                  <c:v>8.9347512541470178E-2</c:v>
                </c:pt>
                <c:pt idx="47">
                  <c:v>0.10131609414634567</c:v>
                </c:pt>
                <c:pt idx="52">
                  <c:v>0.12925212538863159</c:v>
                </c:pt>
                <c:pt idx="57">
                  <c:v>0.15415793943470388</c:v>
                </c:pt>
                <c:pt idx="62">
                  <c:v>0.15308439728047685</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429961704"/>
        <c:axId val="429962488"/>
      </c:lineChart>
      <c:catAx>
        <c:axId val="4299617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62488"/>
        <c:crossesAt val="0"/>
        <c:auto val="1"/>
        <c:lblAlgn val="ctr"/>
        <c:lblOffset val="100"/>
        <c:tickLblSkip val="5"/>
        <c:tickMarkSkip val="5"/>
        <c:noMultiLvlLbl val="0"/>
      </c:catAx>
      <c:valAx>
        <c:axId val="429962488"/>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29961704"/>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Electoral left in Europe and the United States,1945-2020: from the workers' party to the party of the highly educated </a:t>
            </a:r>
            <a:r>
              <a:rPr lang="fr-FR" sz="1800" b="0" baseline="0">
                <a:latin typeface="Arial Narrow" panose="020B0606020202030204" pitchFamily="34" charset="0"/>
                <a:cs typeface="Arial"/>
              </a:rPr>
              <a:t>(variants)</a:t>
            </a:r>
            <a:endParaRPr lang="fr-FR" sz="1800" b="0" baseline="0">
              <a:latin typeface="Arial Narrow" panose="020B0606020202030204" pitchFamily="34" charset="0"/>
              <a:cs typeface="Arial" panose="020B0604020202020204" pitchFamily="34" charset="0"/>
            </a:endParaRPr>
          </a:p>
        </c:rich>
      </c:tx>
      <c:layout>
        <c:manualLayout>
          <c:xMode val="edge"/>
          <c:yMode val="edge"/>
          <c:x val="0.13527064329636027"/>
          <c:y val="2.2426915850674279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United States: difference between % vote Democrat among top 10% education voters and bottom 90% education voters (before controls)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29963272"/>
        <c:axId val="429961312"/>
      </c:lineChart>
      <c:catAx>
        <c:axId val="4299632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61312"/>
        <c:crossesAt val="0"/>
        <c:auto val="1"/>
        <c:lblAlgn val="ctr"/>
        <c:lblOffset val="100"/>
        <c:tickLblSkip val="5"/>
        <c:tickMarkSkip val="5"/>
        <c:noMultiLvlLbl val="0"/>
      </c:catAx>
      <c:valAx>
        <c:axId val="429961312"/>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6327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0.127210282747132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Electoral left in Europe and the United States,1945-2020: from the workers' party to the party of the highly educated </a:t>
            </a:r>
            <a:r>
              <a:rPr lang="fr-FR" sz="1800" b="0" baseline="0">
                <a:latin typeface="Arial Narrow" panose="020B0606020202030204" pitchFamily="34" charset="0"/>
                <a:cs typeface="Arial"/>
              </a:rPr>
              <a:t>(variants)</a:t>
            </a:r>
            <a:endParaRPr lang="fr-FR" sz="1800" b="0" baseline="0">
              <a:latin typeface="Arial Narrow" panose="020B0606020202030204" pitchFamily="34" charset="0"/>
              <a:cs typeface="Arial" panose="020B0604020202020204" pitchFamily="34" charset="0"/>
            </a:endParaRPr>
          </a:p>
        </c:rich>
      </c:tx>
      <c:layout>
        <c:manualLayout>
          <c:xMode val="edge"/>
          <c:yMode val="edge"/>
          <c:x val="0.13527064329636027"/>
          <c:y val="2.2426915850674279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United States: difference between % vote Democrat among university graduates and non-university graduates (before controls)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DataG14.2!$J$6:$J$81</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DataG14.2!$L$6:$L$81</c:f>
              <c:numCache>
                <c:formatCode>0%</c:formatCode>
                <c:ptCount val="76"/>
                <c:pt idx="11">
                  <c:v>-0.17095420247872828</c:v>
                </c:pt>
                <c:pt idx="13">
                  <c:v>-0.21277940719276286</c:v>
                </c:pt>
                <c:pt idx="17">
                  <c:v>-0.13702624944278829</c:v>
                </c:pt>
                <c:pt idx="20">
                  <c:v>-6.7994704818464202E-2</c:v>
                </c:pt>
                <c:pt idx="22">
                  <c:v>-5.0456751202025724E-2</c:v>
                </c:pt>
                <c:pt idx="28">
                  <c:v>-3.8651371703616988E-2</c:v>
                </c:pt>
                <c:pt idx="29">
                  <c:v>8.0515281483861667E-4</c:v>
                </c:pt>
                <c:pt idx="33">
                  <c:v>-1.3074857960086228E-2</c:v>
                </c:pt>
                <c:pt idx="36">
                  <c:v>-1.0000000000000009E-2</c:v>
                </c:pt>
                <c:pt idx="41">
                  <c:v>-1.667172897664615E-2</c:v>
                </c:pt>
                <c:pt idx="43">
                  <c:v>-3.4517667825063603E-2</c:v>
                </c:pt>
                <c:pt idx="48">
                  <c:v>5.0383728387124405E-2</c:v>
                </c:pt>
                <c:pt idx="50">
                  <c:v>2.3673499917834517E-2</c:v>
                </c:pt>
                <c:pt idx="52">
                  <c:v>1.9250571046965037E-2</c:v>
                </c:pt>
                <c:pt idx="57">
                  <c:v>9.8215809674401244E-2</c:v>
                </c:pt>
                <c:pt idx="62">
                  <c:v>0.10883693272687311</c:v>
                </c:pt>
                <c:pt idx="67">
                  <c:v>7.5870646480507675E-2</c:v>
                </c:pt>
                <c:pt idx="7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DataG14.2!$H$6:$H$81</c:f>
              <c:numCache>
                <c:formatCode>0%</c:formatCode>
                <c:ptCount val="76"/>
                <c:pt idx="10">
                  <c:v>-0.25602699076273833</c:v>
                </c:pt>
                <c:pt idx="14">
                  <c:v>-0.27705796892966111</c:v>
                </c:pt>
                <c:pt idx="19">
                  <c:v>-0.23749128456200336</c:v>
                </c:pt>
                <c:pt idx="21">
                  <c:v>-0.21117365871732013</c:v>
                </c:pt>
                <c:pt idx="25">
                  <c:v>-0.12041227868783907</c:v>
                </c:pt>
                <c:pt idx="29">
                  <c:v>-8.6052673913162597E-2</c:v>
                </c:pt>
                <c:pt idx="34">
                  <c:v>-0.14260765540007886</c:v>
                </c:pt>
                <c:pt idx="38">
                  <c:v>-0.15845048044462096</c:v>
                </c:pt>
                <c:pt idx="42">
                  <c:v>-0.15331482591832798</c:v>
                </c:pt>
                <c:pt idx="47">
                  <c:v>-0.16147735853996176</c:v>
                </c:pt>
                <c:pt idx="52">
                  <c:v>-0.10271699389794763</c:v>
                </c:pt>
                <c:pt idx="56">
                  <c:v>-6.9720722466697457E-2</c:v>
                </c:pt>
                <c:pt idx="60">
                  <c:v>-2.7209167047249433E-2</c:v>
                </c:pt>
                <c:pt idx="65">
                  <c:v>-8.9197043491186234E-3</c:v>
                </c:pt>
                <c:pt idx="70">
                  <c:v>6.847959338572851E-3</c:v>
                </c:pt>
                <c:pt idx="72">
                  <c:v>5.2573044205487723E-2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29959744"/>
        <c:axId val="429965624"/>
      </c:lineChart>
      <c:catAx>
        <c:axId val="4299597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65624"/>
        <c:crossesAt val="0"/>
        <c:auto val="1"/>
        <c:lblAlgn val="ctr"/>
        <c:lblOffset val="100"/>
        <c:tickLblSkip val="5"/>
        <c:tickMarkSkip val="5"/>
        <c:noMultiLvlLbl val="0"/>
      </c:catAx>
      <c:valAx>
        <c:axId val="429965624"/>
        <c:scaling>
          <c:orientation val="minMax"/>
          <c:max val="0.24000000000000002"/>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95974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7635912691897661E-2"/>
          <c:y val="0.120444382882450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Electoral left in Europe and the United States,1945-2020: from the workers' party to the party of the highly educated </a:t>
            </a:r>
            <a:r>
              <a:rPr lang="fr-FR" sz="1800" b="0" baseline="0">
                <a:latin typeface="Arial Narrow" panose="020B0606020202030204" pitchFamily="34" charset="0"/>
                <a:cs typeface="Arial"/>
              </a:rPr>
              <a:t>(variants)</a:t>
            </a:r>
            <a:endParaRPr lang="fr-FR" sz="1800" b="0" baseline="0">
              <a:latin typeface="Arial Narrow" panose="020B0606020202030204" pitchFamily="34" charset="0"/>
              <a:cs typeface="Arial" panose="020B0604020202020204" pitchFamily="34" charset="0"/>
            </a:endParaRPr>
          </a:p>
        </c:rich>
      </c:tx>
      <c:layout>
        <c:manualLayout>
          <c:xMode val="edge"/>
          <c:yMode val="edge"/>
          <c:x val="0.13527064329636027"/>
          <c:y val="2.2426915850674279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United States: difference between % vote Democrat among university graduates and non-university graduates (after controls)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DataG14.2!$K$6:$K$81</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DataG14.2!$M$6:$M$81</c:f>
              <c:numCache>
                <c:formatCode>0%</c:formatCode>
                <c:ptCount val="76"/>
                <c:pt idx="11">
                  <c:v>-0.17577155410568407</c:v>
                </c:pt>
                <c:pt idx="13">
                  <c:v>-0.20542685413592626</c:v>
                </c:pt>
                <c:pt idx="17">
                  <c:v>-7.1994045593566799E-2</c:v>
                </c:pt>
                <c:pt idx="20">
                  <c:v>-1.3669878664083229E-2</c:v>
                </c:pt>
                <c:pt idx="22">
                  <c:v>1.3583459339462013E-2</c:v>
                </c:pt>
                <c:pt idx="28">
                  <c:v>-4.3797670998097418E-3</c:v>
                </c:pt>
                <c:pt idx="29">
                  <c:v>1.5448518846923887E-2</c:v>
                </c:pt>
                <c:pt idx="33">
                  <c:v>-4.909991749831432E-4</c:v>
                </c:pt>
                <c:pt idx="41">
                  <c:v>2.4090671501528247E-2</c:v>
                </c:pt>
                <c:pt idx="43">
                  <c:v>7.6928459560543939E-3</c:v>
                </c:pt>
                <c:pt idx="48">
                  <c:v>8.0805056053531416E-2</c:v>
                </c:pt>
                <c:pt idx="50">
                  <c:v>6.2946246936601724E-2</c:v>
                </c:pt>
                <c:pt idx="57">
                  <c:v>7.6713763160431284E-2</c:v>
                </c:pt>
                <c:pt idx="62">
                  <c:v>0.10235620868197158</c:v>
                </c:pt>
                <c:pt idx="67">
                  <c:v>0.12381033826337037</c:v>
                </c:pt>
                <c:pt idx="7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DataG14.2!$I$6:$I$81</c:f>
              <c:numCache>
                <c:formatCode>0%</c:formatCode>
                <c:ptCount val="76"/>
                <c:pt idx="10">
                  <c:v>-0.21363789976157865</c:v>
                </c:pt>
                <c:pt idx="14">
                  <c:v>-0.19383984876191043</c:v>
                </c:pt>
                <c:pt idx="19">
                  <c:v>-0.1864078248562282</c:v>
                </c:pt>
                <c:pt idx="21">
                  <c:v>-0.13456261791874433</c:v>
                </c:pt>
                <c:pt idx="25">
                  <c:v>-0.12496307427742773</c:v>
                </c:pt>
                <c:pt idx="29">
                  <c:v>-9.2685074498900691E-2</c:v>
                </c:pt>
                <c:pt idx="34">
                  <c:v>-0.15594557835577402</c:v>
                </c:pt>
                <c:pt idx="38">
                  <c:v>-0.13476871626939346</c:v>
                </c:pt>
                <c:pt idx="42">
                  <c:v>-5.7867876527256584E-2</c:v>
                </c:pt>
                <c:pt idx="47">
                  <c:v>-7.2259248333121542E-2</c:v>
                </c:pt>
                <c:pt idx="52">
                  <c:v>-6.4229360743714797E-2</c:v>
                </c:pt>
                <c:pt idx="56">
                  <c:v>-5.0337010994723444E-2</c:v>
                </c:pt>
                <c:pt idx="60">
                  <c:v>-5.1571670702604822E-5</c:v>
                </c:pt>
                <c:pt idx="65">
                  <c:v>1.2950308698097823E-3</c:v>
                </c:pt>
                <c:pt idx="70">
                  <c:v>6.2514105859003966E-3</c:v>
                </c:pt>
                <c:pt idx="72">
                  <c:v>5.1390412527569374E-2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350209840"/>
        <c:axId val="350208664"/>
      </c:lineChart>
      <c:catAx>
        <c:axId val="3502098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0208664"/>
        <c:crossesAt val="0"/>
        <c:auto val="1"/>
        <c:lblAlgn val="ctr"/>
        <c:lblOffset val="100"/>
        <c:tickLblSkip val="5"/>
        <c:tickMarkSkip val="5"/>
        <c:noMultiLvlLbl val="0"/>
      </c:catAx>
      <c:valAx>
        <c:axId val="350208664"/>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35020984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7635912691897661E-2"/>
          <c:y val="0.120444382882450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Left vote by level of education in France, 1956-1965</a:t>
            </a:r>
            <a:endParaRPr lang="fr-FR" sz="2000"/>
          </a:p>
        </c:rich>
      </c:tx>
      <c:layout>
        <c:manualLayout>
          <c:xMode val="edge"/>
          <c:yMode val="edge"/>
          <c:x val="0.15902679290309768"/>
          <c:y val="0"/>
        </c:manualLayout>
      </c:layout>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Primary</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DataG14.10!$O$7:$O$24</c15:sqref>
                  </c15:fullRef>
                </c:ext>
              </c:extLst>
              <c:f>DataG14.10!$O$7:$O$10</c:f>
              <c:numCache>
                <c:formatCode>0%</c:formatCode>
                <c:ptCount val="4"/>
                <c:pt idx="0">
                  <c:v>0.56814226508140564</c:v>
                </c:pt>
                <c:pt idx="1">
                  <c:v>0.47113782167434692</c:v>
                </c:pt>
                <c:pt idx="2">
                  <c:v>0.47646182775497437</c:v>
                </c:pt>
                <c:pt idx="3">
                  <c:v>0.45961373954844076</c:v>
                </c:pt>
              </c:numCache>
            </c:numRef>
          </c:val>
          <c:extLst/>
        </c:ser>
        <c:ser>
          <c:idx val="1"/>
          <c:order val="1"/>
          <c:tx>
            <c:v>Secondary</c:v>
          </c:tx>
          <c:spPr>
            <a:solidFill>
              <a:schemeClr val="accent3"/>
            </a:solidFill>
            <a:ln>
              <a:solidFill>
                <a:schemeClr val="bg1"/>
              </a:solidFill>
            </a:ln>
          </c:spPr>
          <c:invertIfNegative val="0"/>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DataG14.10!$P$7:$P$24</c15:sqref>
                  </c15:fullRef>
                </c:ext>
              </c:extLst>
              <c:f>DataG14.10!$P$7:$P$10</c:f>
              <c:numCache>
                <c:formatCode>0%</c:formatCode>
                <c:ptCount val="4"/>
                <c:pt idx="0">
                  <c:v>0.49441137287639297</c:v>
                </c:pt>
                <c:pt idx="1">
                  <c:v>0.3474394178152479</c:v>
                </c:pt>
                <c:pt idx="2">
                  <c:v>0.36663396179735558</c:v>
                </c:pt>
                <c:pt idx="3">
                  <c:v>0.42735108104129976</c:v>
                </c:pt>
              </c:numCache>
            </c:numRef>
          </c:val>
        </c:ser>
        <c:ser>
          <c:idx val="2"/>
          <c:order val="2"/>
          <c:tx>
            <c:v>Higher education</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DataG14.10!$Q$7:$Q$24</c15:sqref>
                  </c15:fullRef>
                </c:ext>
              </c:extLst>
              <c:f>DataG14.10!$Q$7:$Q$10</c:f>
              <c:numCache>
                <c:formatCode>0%</c:formatCode>
                <c:ptCount val="4"/>
                <c:pt idx="0">
                  <c:v>0.37039555191993701</c:v>
                </c:pt>
                <c:pt idx="1">
                  <c:v>0.26601919531822205</c:v>
                </c:pt>
                <c:pt idx="2">
                  <c:v>0.30611094832420349</c:v>
                </c:pt>
                <c:pt idx="3">
                  <c:v>0.3826875916249427</c:v>
                </c:pt>
              </c:numCache>
            </c:numRef>
          </c:val>
        </c:ser>
        <c:dLbls>
          <c:showLegendKey val="0"/>
          <c:showVal val="0"/>
          <c:showCatName val="0"/>
          <c:showSerName val="0"/>
          <c:showPercent val="0"/>
          <c:showBubbleSize val="0"/>
        </c:dLbls>
        <c:gapWidth val="150"/>
        <c:axId val="350207488"/>
        <c:axId val="350209056"/>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uri="{02D57815-91ED-43cb-92C2-25804820EDAC}">
                        <c15:fullRef>
                          <c15:sqref>DataG14.10!$S$7:$S$24</c15:sqref>
                        </c15:fullRef>
                        <c15:formulaRef>
                          <c15:sqref>DataG14.10!$S$7:$S$10</c15:sqref>
                        </c15:formulaRef>
                      </c:ext>
                    </c:extLst>
                    <c:numCache>
                      <c:formatCode>0%</c:formatCode>
                      <c:ptCount val="4"/>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DataG14.10!$T$7:$T$24</c15:sqref>
                        </c15:fullRef>
                        <c15:formulaRef>
                          <c15:sqref>DataG14.10!$T$7:$T$10</c15:sqref>
                        </c15:formulaRef>
                      </c:ext>
                    </c:extLst>
                    <c:numCache>
                      <c:formatCode>0%</c:formatCode>
                      <c:ptCount val="4"/>
                    </c:numCache>
                  </c:numRef>
                </c:val>
              </c15:ser>
            </c15:filteredBarSeries>
          </c:ext>
        </c:extLst>
      </c:barChart>
      <c:catAx>
        <c:axId val="35020748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350209056"/>
        <c:crosses val="autoZero"/>
        <c:auto val="1"/>
        <c:lblAlgn val="ctr"/>
        <c:lblOffset val="100"/>
        <c:noMultiLvlLbl val="0"/>
      </c:catAx>
      <c:valAx>
        <c:axId val="350209056"/>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350207488"/>
        <c:crosses val="autoZero"/>
        <c:crossBetween val="between"/>
      </c:valAx>
      <c:spPr>
        <a:ln w="25400">
          <a:solidFill>
            <a:schemeClr val="tx1"/>
          </a:solidFill>
        </a:ln>
      </c:spPr>
    </c:plotArea>
    <c:legend>
      <c:legendPos val="t"/>
      <c:layout>
        <c:manualLayout>
          <c:xMode val="edge"/>
          <c:yMode val="edge"/>
          <c:x val="0.2957862116929571"/>
          <c:y val="8.4754835868472073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Left vote by level of education in France, 2002-2017</a:t>
            </a:r>
            <a:endParaRPr lang="fr-FR" sz="2000"/>
          </a:p>
        </c:rich>
      </c:tx>
      <c:layout>
        <c:manualLayout>
          <c:xMode val="edge"/>
          <c:yMode val="edge"/>
          <c:x val="0.15488529183397085"/>
          <c:y val="0"/>
        </c:manualLayout>
      </c:layout>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Primary</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DataG14.10!$O$7:$O$24</c15:sqref>
                  </c15:fullRef>
                </c:ext>
              </c:extLst>
              <c:f>DataG14.10!$O$21:$O$24</c:f>
              <c:numCache>
                <c:formatCode>0%</c:formatCode>
                <c:ptCount val="4"/>
                <c:pt idx="0">
                  <c:v>0.3839411735534668</c:v>
                </c:pt>
                <c:pt idx="1">
                  <c:v>0.39146226644515991</c:v>
                </c:pt>
                <c:pt idx="2">
                  <c:v>0.46591855585575104</c:v>
                </c:pt>
                <c:pt idx="3">
                  <c:v>0.42000000000000004</c:v>
                </c:pt>
              </c:numCache>
            </c:numRef>
          </c:val>
          <c:extLst/>
        </c:ser>
        <c:ser>
          <c:idx val="1"/>
          <c:order val="1"/>
          <c:tx>
            <c:v>Secondary</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DataG14.10!$P$7:$P$24</c15:sqref>
                  </c15:fullRef>
                </c:ext>
              </c:extLst>
              <c:f>DataG14.10!$P$21:$P$24</c:f>
              <c:numCache>
                <c:formatCode>0%</c:formatCode>
                <c:ptCount val="4"/>
                <c:pt idx="0">
                  <c:v>0.43088468997622886</c:v>
                </c:pt>
                <c:pt idx="1">
                  <c:v>0.48819399153632759</c:v>
                </c:pt>
                <c:pt idx="2">
                  <c:v>0.4960988315114303</c:v>
                </c:pt>
                <c:pt idx="3">
                  <c:v>0.54</c:v>
                </c:pt>
              </c:numCache>
            </c:numRef>
          </c:val>
          <c:extLst>
            <c:ext xmlns:c15="http://schemas.microsoft.com/office/drawing/2012/chart" uri="{02D57815-91ED-43cb-92C2-25804820EDAC}">
              <c15:categoryFilterExceptions>
                <c15:categoryFilterException>
                  <c15:sqref>DataG14.10!$P$8</c15:sqref>
                  <c15:invertIfNegative val="0"/>
                  <c15:bubble3D val="0"/>
                </c15:categoryFilterException>
                <c15:categoryFilterException>
                  <c15:sqref>DataG14.10!$P$9</c15:sqref>
                  <c15:invertIfNegative val="0"/>
                  <c15:bubble3D val="0"/>
                </c15:categoryFilterException>
              </c15:categoryFilterExceptions>
            </c:ext>
          </c:extLst>
        </c:ser>
        <c:ser>
          <c:idx val="2"/>
          <c:order val="2"/>
          <c:tx>
            <c:v>Higher education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DataG14.10!$Q$7:$Q$24</c15:sqref>
                  </c15:fullRef>
                </c:ext>
              </c:extLst>
              <c:f>DataG14.10!$Q$21:$Q$24</c:f>
              <c:numCache>
                <c:formatCode>0%</c:formatCode>
                <c:ptCount val="4"/>
                <c:pt idx="0">
                  <c:v>0.51565243152535822</c:v>
                </c:pt>
                <c:pt idx="1">
                  <c:v>0.55780470687486516</c:v>
                </c:pt>
                <c:pt idx="2">
                  <c:v>0.57618878030107101</c:v>
                </c:pt>
                <c:pt idx="3">
                  <c:v>0.6100000000000001</c:v>
                </c:pt>
              </c:numCache>
            </c:numRef>
          </c:val>
          <c:extLst>
            <c:ext xmlns:c15="http://schemas.microsoft.com/office/drawing/2012/chart" uri="{02D57815-91ED-43cb-92C2-25804820EDAC}">
              <c15:categoryFilterExceptions>
                <c15:categoryFilterException>
                  <c15:sqref>DataG14.10!$Q$7</c15:sqref>
                  <c15:invertIfNegative val="0"/>
                  <c15:bubble3D val="0"/>
                </c15:categoryFilterException>
                <c15:categoryFilterException>
                  <c15:sqref>DataG14.10!$Q$8</c15:sqref>
                  <c15:invertIfNegative val="0"/>
                  <c15:bubble3D val="0"/>
                </c15:categoryFilterException>
                <c15:categoryFilterException>
                  <c15:sqref>DataG14.10!$Q$9</c15:sqref>
                  <c15:invertIfNegative val="0"/>
                  <c15:bubble3D val="0"/>
                </c15:categoryFilterException>
              </c15:categoryFilterExceptions>
            </c:ext>
          </c:extLst>
        </c:ser>
        <c:dLbls>
          <c:showLegendKey val="0"/>
          <c:showVal val="0"/>
          <c:showCatName val="0"/>
          <c:showSerName val="0"/>
          <c:showPercent val="0"/>
          <c:showBubbleSize val="0"/>
        </c:dLbls>
        <c:gapWidth val="150"/>
        <c:axId val="350206312"/>
        <c:axId val="350205920"/>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DataG14.10!$S$7:$S$24</c15:sqref>
                        </c15:fullRef>
                        <c15:formulaRef>
                          <c15:sqref>DataG14.10!$S$21:$S$24</c15:sqref>
                        </c15:formulaRef>
                      </c:ext>
                    </c:extLst>
                    <c:numCache>
                      <c:formatCode>0%</c:formatCode>
                      <c:ptCount val="4"/>
                      <c:pt idx="0">
                        <c:v>0.49986359477043152</c:v>
                      </c:pt>
                      <c:pt idx="1">
                        <c:v>0.55540800094604492</c:v>
                      </c:pt>
                      <c:pt idx="2">
                        <c:v>0.53070785105228424</c:v>
                      </c:pt>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DataG14.10!$T$7:$T$24</c15:sqref>
                        </c15:fullRef>
                        <c15:formulaRef>
                          <c15:sqref>DataG14.10!$T$21:$T$24</c15:sqref>
                        </c15:formulaRef>
                      </c:ext>
                    </c:extLst>
                    <c:numCache>
                      <c:formatCode>0%</c:formatCode>
                      <c:ptCount val="4"/>
                      <c:pt idx="0">
                        <c:v>0.52884304523468018</c:v>
                      </c:pt>
                      <c:pt idx="1">
                        <c:v>0.5600467324256897</c:v>
                      </c:pt>
                      <c:pt idx="2">
                        <c:v>0.59128746390342712</c:v>
                      </c:pt>
                    </c:numCache>
                  </c:numRef>
                </c:val>
              </c15:ser>
            </c15:filteredBarSeries>
          </c:ext>
        </c:extLst>
      </c:barChart>
      <c:catAx>
        <c:axId val="35020631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350205920"/>
        <c:crosses val="autoZero"/>
        <c:auto val="1"/>
        <c:lblAlgn val="ctr"/>
        <c:lblOffset val="100"/>
        <c:noMultiLvlLbl val="0"/>
      </c:catAx>
      <c:valAx>
        <c:axId val="350205920"/>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350206312"/>
        <c:crosses val="autoZero"/>
        <c:crossBetween val="between"/>
      </c:valAx>
      <c:spPr>
        <a:ln w="25400">
          <a:solidFill>
            <a:schemeClr val="tx1"/>
          </a:solidFill>
        </a:ln>
      </c:spPr>
    </c:plotArea>
    <c:legend>
      <c:legendPos val="t"/>
      <c:layout>
        <c:manualLayout>
          <c:xMode val="edge"/>
          <c:yMode val="edge"/>
          <c:x val="0.27372311356575318"/>
          <c:y val="7.344065121249771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Left vote: short and long higher education</a:t>
            </a:r>
            <a:endParaRPr lang="fr-FR" sz="2000"/>
          </a:p>
        </c:rich>
      </c:tx>
      <c:layout>
        <c:manualLayout>
          <c:xMode val="edge"/>
          <c:yMode val="edge"/>
          <c:x val="0.23757918298326711"/>
          <c:y val="3.20661274806716E-6"/>
        </c:manualLayout>
      </c:layout>
      <c:overlay val="0"/>
    </c:title>
    <c:autoTitleDeleted val="0"/>
    <c:plotArea>
      <c:layout>
        <c:manualLayout>
          <c:layoutTarget val="inner"/>
          <c:xMode val="edge"/>
          <c:yMode val="edge"/>
          <c:x val="8.8653544180842828E-2"/>
          <c:y val="6.4546825006975894E-2"/>
          <c:w val="0.89878600755574789"/>
          <c:h val="0.74729606969303353"/>
        </c:manualLayout>
      </c:layout>
      <c:barChart>
        <c:barDir val="col"/>
        <c:grouping val="clustered"/>
        <c:varyColors val="0"/>
        <c:ser>
          <c:idx val="0"/>
          <c:order val="0"/>
          <c:tx>
            <c:v>Primary</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DataG14.10!$O$7:$O$24</c15:sqref>
                  </c15:fullRef>
                </c:ext>
              </c:extLst>
              <c:f>(DataG14.10!$O$12:$O$14,DataG14.10!$O$16:$O$23)</c:f>
              <c:numCache>
                <c:formatCode>0%</c:formatCode>
                <c:ptCount val="11"/>
                <c:pt idx="0">
                  <c:v>0.48371654748916626</c:v>
                </c:pt>
                <c:pt idx="1">
                  <c:v>0.47861975431442261</c:v>
                </c:pt>
                <c:pt idx="2">
                  <c:v>0.49186849594116211</c:v>
                </c:pt>
                <c:pt idx="3">
                  <c:v>0.47895285487174988</c:v>
                </c:pt>
                <c:pt idx="4">
                  <c:v>0.53681939840316772</c:v>
                </c:pt>
                <c:pt idx="5">
                  <c:v>0.41974303126335144</c:v>
                </c:pt>
                <c:pt idx="6">
                  <c:v>0.44475610554218292</c:v>
                </c:pt>
                <c:pt idx="7">
                  <c:v>0.45239844918251038</c:v>
                </c:pt>
                <c:pt idx="8">
                  <c:v>0.3839411735534668</c:v>
                </c:pt>
                <c:pt idx="9">
                  <c:v>0.39146226644515991</c:v>
                </c:pt>
                <c:pt idx="10">
                  <c:v>0.46591855585575104</c:v>
                </c:pt>
              </c:numCache>
            </c:numRef>
          </c:val>
          <c:extLst/>
        </c:ser>
        <c:ser>
          <c:idx val="1"/>
          <c:order val="1"/>
          <c:tx>
            <c:v>Secondary</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DataG14.10!$P$7:$P$24</c15:sqref>
                  </c15:fullRef>
                </c:ext>
              </c:extLst>
              <c:f>(DataG14.10!$P$12:$P$14,DataG14.10!$P$16:$P$23)</c:f>
              <c:numCache>
                <c:formatCode>0%</c:formatCode>
                <c:ptCount val="11"/>
                <c:pt idx="0">
                  <c:v>0.47207978624736791</c:v>
                </c:pt>
                <c:pt idx="1">
                  <c:v>0.50527119043396906</c:v>
                </c:pt>
                <c:pt idx="2">
                  <c:v>0.5280148327482812</c:v>
                </c:pt>
                <c:pt idx="3">
                  <c:v>0.46988608056041858</c:v>
                </c:pt>
                <c:pt idx="4">
                  <c:v>0.5529327496269506</c:v>
                </c:pt>
                <c:pt idx="5">
                  <c:v>0.41539330405363428</c:v>
                </c:pt>
                <c:pt idx="6">
                  <c:v>0.48147356432635036</c:v>
                </c:pt>
                <c:pt idx="7">
                  <c:v>0.49479390434964382</c:v>
                </c:pt>
                <c:pt idx="8">
                  <c:v>0.43088468997622886</c:v>
                </c:pt>
                <c:pt idx="9">
                  <c:v>0.48819399153632759</c:v>
                </c:pt>
                <c:pt idx="10">
                  <c:v>0.4960988315114303</c:v>
                </c:pt>
              </c:numCache>
            </c:numRef>
          </c:val>
          <c:extLst>
            <c:ext xmlns:c15="http://schemas.microsoft.com/office/drawing/2012/chart" uri="{02D57815-91ED-43cb-92C2-25804820EDAC}">
              <c15:categoryFilterExceptions>
                <c15:categoryFilterException>
                  <c15:sqref>DataG14.10!$P$8</c15:sqref>
                  <c15:spPr xmlns:c15="http://schemas.microsoft.com/office/drawing/2012/chart">
                    <a:solidFill>
                      <a:schemeClr val="accent3"/>
                    </a:solidFill>
                    <a:ln>
                      <a:solidFill>
                        <a:schemeClr val="bg1"/>
                      </a:solidFill>
                    </a:ln>
                  </c15:spPr>
                  <c15:invertIfNegative val="0"/>
                  <c15:bubble3D val="0"/>
                </c15:categoryFilterException>
                <c15:categoryFilterException>
                  <c15:sqref>DataG14.10!$P$9</c15:sqref>
                  <c15:spPr xmlns:c15="http://schemas.microsoft.com/office/drawing/2012/chart">
                    <a:solidFill>
                      <a:schemeClr val="accent3"/>
                    </a:solidFill>
                    <a:ln>
                      <a:solidFill>
                        <a:schemeClr val="bg1"/>
                      </a:solidFill>
                    </a:ln>
                  </c15:spPr>
                  <c15:invertIfNegative val="0"/>
                  <c15:bubble3D val="0"/>
                </c15:categoryFilterException>
              </c15:categoryFilterExceptions>
            </c:ext>
          </c:extLst>
        </c:ser>
        <c:ser>
          <c:idx val="4"/>
          <c:order val="3"/>
          <c:tx>
            <c:v>Short higher education</c:v>
          </c:tx>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DataG14.10!$S$7:$S$24</c15:sqref>
                  </c15:fullRef>
                </c:ext>
              </c:extLst>
              <c:f>(DataG14.10!$S$12:$S$14,DataG14.10!$S$16:$S$23)</c:f>
              <c:numCache>
                <c:formatCode>0%</c:formatCode>
                <c:ptCount val="11"/>
                <c:pt idx="0">
                  <c:v>0.46556830406188965</c:v>
                </c:pt>
                <c:pt idx="1">
                  <c:v>0.51133197546005249</c:v>
                </c:pt>
                <c:pt idx="2">
                  <c:v>0.52825337648391724</c:v>
                </c:pt>
                <c:pt idx="3">
                  <c:v>0.47245615720748901</c:v>
                </c:pt>
                <c:pt idx="4">
                  <c:v>0.52582246065139771</c:v>
                </c:pt>
                <c:pt idx="5">
                  <c:v>0.43564584851264954</c:v>
                </c:pt>
                <c:pt idx="6">
                  <c:v>0.46413028240203857</c:v>
                </c:pt>
                <c:pt idx="7">
                  <c:v>0.50014394521713257</c:v>
                </c:pt>
                <c:pt idx="8">
                  <c:v>0.49986359477043152</c:v>
                </c:pt>
                <c:pt idx="9">
                  <c:v>0.55540800094604492</c:v>
                </c:pt>
                <c:pt idx="10">
                  <c:v>0.53070785105228424</c:v>
                </c:pt>
              </c:numCache>
            </c:numRef>
          </c:val>
        </c:ser>
        <c:ser>
          <c:idx val="3"/>
          <c:order val="4"/>
          <c:tx>
            <c:v>Long higher education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DataG14.10!$T$7:$T$24</c15:sqref>
                  </c15:fullRef>
                </c:ext>
              </c:extLst>
              <c:f>(DataG14.10!$T$12:$T$14,DataG14.10!$T$16:$T$23)</c:f>
              <c:numCache>
                <c:formatCode>0%</c:formatCode>
                <c:ptCount val="11"/>
                <c:pt idx="0">
                  <c:v>0.34750404953956604</c:v>
                </c:pt>
                <c:pt idx="1">
                  <c:v>0.431844562292099</c:v>
                </c:pt>
                <c:pt idx="2">
                  <c:v>0.39485627412796021</c:v>
                </c:pt>
                <c:pt idx="3">
                  <c:v>0.4406125545501709</c:v>
                </c:pt>
                <c:pt idx="4">
                  <c:v>0.49470555782318115</c:v>
                </c:pt>
                <c:pt idx="5">
                  <c:v>0.49653869867324829</c:v>
                </c:pt>
                <c:pt idx="6">
                  <c:v>0.52337133884429932</c:v>
                </c:pt>
                <c:pt idx="7">
                  <c:v>0.48849004507064819</c:v>
                </c:pt>
                <c:pt idx="8">
                  <c:v>0.52884304523468018</c:v>
                </c:pt>
                <c:pt idx="9">
                  <c:v>0.5600467324256897</c:v>
                </c:pt>
                <c:pt idx="10">
                  <c:v>0.59128746390342712</c:v>
                </c:pt>
              </c:numCache>
            </c:numRef>
          </c:val>
        </c:ser>
        <c:dLbls>
          <c:showLegendKey val="0"/>
          <c:showVal val="0"/>
          <c:showCatName val="0"/>
          <c:showSerName val="0"/>
          <c:showPercent val="0"/>
          <c:showBubbleSize val="0"/>
        </c:dLbls>
        <c:gapWidth val="150"/>
        <c:axId val="350204744"/>
        <c:axId val="350206704"/>
        <c:extLst>
          <c:ext xmlns:c15="http://schemas.microsoft.com/office/drawing/2012/chart" uri="{02D57815-91ED-43cb-92C2-25804820EDAC}">
            <c15:filteredBarSeries>
              <c15:ser>
                <c:idx val="2"/>
                <c:order val="2"/>
                <c:tx>
                  <c:v>Vote gauche supérieur</c:v>
                </c:tx>
                <c:spPr>
                  <a:solidFill>
                    <a:schemeClr val="accent1"/>
                  </a:solidFill>
                  <a:ln>
                    <a:solidFill>
                      <a:schemeClr val="accent1"/>
                    </a:solidFill>
                  </a:ln>
                </c:spPr>
                <c:invertIfNegative val="0"/>
                <c:cat>
                  <c:numRef>
                    <c:extLst>
                      <c:ext uri="{02D57815-91ED-43cb-92C2-25804820EDAC}">
                        <c15:fullRef>
                          <c15:sqref>DataG14.10!$A$7:$A$24</c15:sqref>
                        </c15:fullRef>
                        <c15:formulaRef>
                          <c15:sqref>(DataG14.10!$A$12:$A$14,DataG14.10!$A$16:$A$23)</c15:sqref>
                        </c15:formulaRef>
                      </c:ext>
                    </c:extLst>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uri="{02D57815-91ED-43cb-92C2-25804820EDAC}">
                        <c15:fullRef>
                          <c15:sqref>DataG14.10!$Q$7:$Q$24</c15:sqref>
                        </c15:fullRef>
                        <c15:formulaRef>
                          <c15:sqref>(DataG14.10!$Q$12:$Q$14,DataG14.10!$Q$16:$Q$23)</c15:sqref>
                        </c15:formulaRef>
                      </c:ext>
                    </c:extLst>
                    <c:numCache>
                      <c:formatCode>0%</c:formatCode>
                      <c:ptCount val="11"/>
                      <c:pt idx="0">
                        <c:v>0.43886524411849986</c:v>
                      </c:pt>
                      <c:pt idx="1">
                        <c:v>0.49347637106184894</c:v>
                      </c:pt>
                      <c:pt idx="2">
                        <c:v>0.49796907084828435</c:v>
                      </c:pt>
                      <c:pt idx="3">
                        <c:v>0.45735579265471693</c:v>
                      </c:pt>
                      <c:pt idx="4">
                        <c:v>0.51102843663727859</c:v>
                      </c:pt>
                      <c:pt idx="5">
                        <c:v>0.46746021459819237</c:v>
                      </c:pt>
                      <c:pt idx="6">
                        <c:v>0.48957948689923264</c:v>
                      </c:pt>
                      <c:pt idx="7">
                        <c:v>0.49396097422199203</c:v>
                      </c:pt>
                      <c:pt idx="8">
                        <c:v>0.51565243152535822</c:v>
                      </c:pt>
                      <c:pt idx="9">
                        <c:v>0.55780470687486516</c:v>
                      </c:pt>
                      <c:pt idx="10">
                        <c:v>0.57618878030107101</c:v>
                      </c:pt>
                    </c:numCache>
                  </c:numRef>
                </c:val>
                <c:extLst>
                  <c:ext uri="{02D57815-91ED-43cb-92C2-25804820EDAC}">
                    <c15:categoryFilterExceptions>
                      <c15:categoryFilterException>
                        <c15:sqref>DataG14.10!$Q$8</c15:sqref>
                        <c15:spPr xmlns:c15="http://schemas.microsoft.com/office/drawing/2012/chart">
                          <a:solidFill>
                            <a:schemeClr val="accent1"/>
                          </a:solidFill>
                          <a:ln>
                            <a:solidFill>
                              <a:schemeClr val="accent1"/>
                            </a:solidFill>
                          </a:ln>
                        </c15:spPr>
                        <c15:invertIfNegative val="0"/>
                        <c15:bubble3D val="0"/>
                      </c15:categoryFilterException>
                      <c15:categoryFilterException>
                        <c15:sqref>DataG14.10!$Q$9</c15:sqref>
                        <c15:spPr xmlns:c15="http://schemas.microsoft.com/office/drawing/2012/chart">
                          <a:solidFill>
                            <a:schemeClr val="accent1"/>
                          </a:solidFill>
                          <a:ln>
                            <a:solidFill>
                              <a:schemeClr val="accent1"/>
                            </a:solidFill>
                          </a:ln>
                        </c15:spPr>
                        <c15:invertIfNegative val="0"/>
                        <c15:bubble3D val="0"/>
                      </c15:categoryFilterException>
                    </c15:categoryFilterExceptions>
                  </c:ext>
                </c:extLst>
              </c15:ser>
            </c15:filteredBarSeries>
          </c:ext>
        </c:extLst>
      </c:barChart>
      <c:catAx>
        <c:axId val="35020474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350206704"/>
        <c:crosses val="autoZero"/>
        <c:auto val="1"/>
        <c:lblAlgn val="ctr"/>
        <c:lblOffset val="100"/>
        <c:noMultiLvlLbl val="0"/>
      </c:catAx>
      <c:valAx>
        <c:axId val="350206704"/>
        <c:scaling>
          <c:orientation val="minMax"/>
          <c:max val="0.65000000000000013"/>
          <c:min val="0.2"/>
        </c:scaling>
        <c:delete val="0"/>
        <c:axPos val="l"/>
        <c:majorGridlines/>
        <c:title>
          <c:tx>
            <c:rich>
              <a:bodyPr/>
              <a:lstStyle/>
              <a:p>
                <a:pPr>
                  <a:defRPr/>
                </a:pPr>
                <a:r>
                  <a:rPr lang="fr-FR" sz="1200" b="0">
                    <a:latin typeface="Arial Narrow" panose="020B0606020202030204" pitchFamily="34" charset="0"/>
                  </a:rPr>
                  <a:t>Vote</a:t>
                </a:r>
                <a:r>
                  <a:rPr lang="fr-FR" sz="1200" b="0" baseline="0">
                    <a:latin typeface="Arial Narrow" panose="020B0606020202030204" pitchFamily="34" charset="0"/>
                  </a:rPr>
                  <a:t> for left parties as a function of highest eudcation degree</a:t>
                </a:r>
                <a:endParaRPr lang="fr-FR" sz="1200" b="0">
                  <a:latin typeface="Arial Narrow" panose="020B0606020202030204" pitchFamily="34" charset="0"/>
                </a:endParaRPr>
              </a:p>
            </c:rich>
          </c:tx>
          <c:layout>
            <c:manualLayout>
              <c:xMode val="edge"/>
              <c:yMode val="edge"/>
              <c:x val="3.3435619551717386E-4"/>
              <c:y val="0.11886788755477963"/>
            </c:manualLayout>
          </c:layout>
          <c:overlay val="0"/>
        </c:title>
        <c:numFmt formatCode="0%" sourceLinked="0"/>
        <c:majorTickMark val="out"/>
        <c:minorTickMark val="none"/>
        <c:tickLblPos val="nextTo"/>
        <c:txPr>
          <a:bodyPr/>
          <a:lstStyle/>
          <a:p>
            <a:pPr>
              <a:defRPr sz="1600" b="1" i="0">
                <a:latin typeface="Arial"/>
              </a:defRPr>
            </a:pPr>
            <a:endParaRPr lang="fr-FR"/>
          </a:p>
        </c:txPr>
        <c:crossAx val="350204744"/>
        <c:crosses val="autoZero"/>
        <c:crossBetween val="between"/>
      </c:valAx>
      <c:spPr>
        <a:ln w="25400">
          <a:solidFill>
            <a:schemeClr val="tx1"/>
          </a:solidFill>
        </a:ln>
      </c:spPr>
    </c:plotArea>
    <c:legend>
      <c:legendPos val="t"/>
      <c:layout>
        <c:manualLayout>
          <c:xMode val="edge"/>
          <c:yMode val="edge"/>
          <c:x val="0.18442079705477021"/>
          <c:y val="8.7021007950516788E-2"/>
          <c:w val="0.60630900780897223"/>
          <c:h val="9.8541370309648324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zoomScale="80"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1.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2.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3.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4.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0.89265</cdr:y>
    </cdr:from>
    <cdr:to>
      <cdr:x>0.97331</cdr:x>
      <cdr:y>0.99359</cdr:y>
    </cdr:to>
    <cdr:sp macro="" textlink="">
      <cdr:nvSpPr>
        <cdr:cNvPr id="6" name="Rectangle 5"/>
        <cdr:cNvSpPr/>
      </cdr:nvSpPr>
      <cdr:spPr>
        <a:xfrm xmlns:a="http://schemas.openxmlformats.org/drawingml/2006/main">
          <a:off x="165100" y="5026660"/>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S14.2b).</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0.89265</cdr:y>
    </cdr:from>
    <cdr:to>
      <cdr:x>0.97331</cdr:x>
      <cdr:y>0.99359</cdr:y>
    </cdr:to>
    <cdr:sp macro="" textlink="">
      <cdr:nvSpPr>
        <cdr:cNvPr id="6" name="Rectangle 5"/>
        <cdr:cNvSpPr/>
      </cdr:nvSpPr>
      <cdr:spPr>
        <a:xfrm xmlns:a="http://schemas.openxmlformats.org/drawingml/2006/main">
          <a:off x="165100" y="5026660"/>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S14.2c).</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0.01654</cdr:x>
      <cdr:y>0.86878</cdr:y>
    </cdr:from>
    <cdr:to>
      <cdr:x>0.99824</cdr:x>
      <cdr:y>1</cdr:y>
    </cdr:to>
    <cdr:sp macro="" textlink="">
      <cdr:nvSpPr>
        <cdr:cNvPr id="6" name="Rectangle 5"/>
        <cdr:cNvSpPr/>
      </cdr:nvSpPr>
      <cdr:spPr>
        <a:xfrm xmlns:a="http://schemas.openxmlformats.org/drawingml/2006/main">
          <a:off x="152400" y="4876801"/>
          <a:ext cx="9043159" cy="7365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1956 legislative elections, 57% of voters with no degree or whose highest degree was a primary education degree (certificat d'études primaires) (i.e. 72% of the electorate at the time) voted for left-wing parties (socialists-communists-radicals), vs. 50% of secondary degree holders (23% of the electorate) and 37% of higher education degree holders (5% of the electorate). The profile is the same during the elections of 1958, 1962, 1965,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S14.9a).</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0.01562</cdr:x>
      <cdr:y>0.86727</cdr:y>
    </cdr:from>
    <cdr:to>
      <cdr:x>0.99733</cdr:x>
      <cdr:y>0.96531</cdr:y>
    </cdr:to>
    <cdr:sp macro="" textlink="">
      <cdr:nvSpPr>
        <cdr:cNvPr id="5" name="Rectangle 4"/>
        <cdr:cNvSpPr/>
      </cdr:nvSpPr>
      <cdr:spPr>
        <a:xfrm xmlns:a="http://schemas.openxmlformats.org/drawingml/2006/main">
          <a:off x="143933" y="4868334"/>
          <a:ext cx="9043159" cy="55033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2012 presidential elections, the education cleavage was totally reversed: the left-wing candidate obtained 58% of the vote in the second round among higher education degree holders, vs 47% of the vote among primary education degree holders. The profile is the same for the elections of 2002, 2007, 2017,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S14.9b).</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99418" cy="56041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0.0069</cdr:x>
      <cdr:y>0.86815</cdr:y>
    </cdr:from>
    <cdr:to>
      <cdr:x>0.99517</cdr:x>
      <cdr:y>0.96606</cdr:y>
    </cdr:to>
    <cdr:sp macro="" textlink="">
      <cdr:nvSpPr>
        <cdr:cNvPr id="5" name="Rectangle 4"/>
        <cdr:cNvSpPr/>
      </cdr:nvSpPr>
      <cdr:spPr>
        <a:xfrm xmlns:a="http://schemas.openxmlformats.org/drawingml/2006/main">
          <a:off x="63500" y="4865004"/>
          <a:ext cx="9091629" cy="5486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1970s, vote for left parties (socialists-communists-radicals-greens) was higher among voters with short higher education degrees (degrees in two or three years after high school) than among voters with long higher education degrees (degrees in four years or more). During the 2000s and 2010s, the opposite pattern holds.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0.85704</cdr:y>
    </cdr:from>
    <cdr:to>
      <cdr:x>0.99465</cdr:x>
      <cdr:y>0.9579</cdr:y>
    </cdr:to>
    <cdr:sp macro="" textlink="">
      <cdr:nvSpPr>
        <cdr:cNvPr id="6" name="Rectangle 5"/>
        <cdr:cNvSpPr/>
      </cdr:nvSpPr>
      <cdr:spPr>
        <a:xfrm xmlns:a="http://schemas.openxmlformats.org/drawingml/2006/main">
          <a:off x="205483" y="4828284"/>
          <a:ext cx="8889595"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S14.1a).</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0.01001</cdr:x>
      <cdr:y>0.87855</cdr:y>
    </cdr:from>
    <cdr:to>
      <cdr:x>0.99666</cdr:x>
      <cdr:y>0.98512</cdr:y>
    </cdr:to>
    <cdr:sp macro="" textlink="">
      <cdr:nvSpPr>
        <cdr:cNvPr id="5" name="Rectangle 4"/>
        <cdr:cNvSpPr/>
      </cdr:nvSpPr>
      <cdr:spPr>
        <a:xfrm xmlns:a="http://schemas.openxmlformats.org/drawingml/2006/main">
          <a:off x="91440" y="4947255"/>
          <a:ext cx="9014460" cy="6001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1950s, women vote was strongest for the Republicans in the US, right-wing parties in France and the Conservatives in Britain; during the 2010s, women vote was strongest for the Democrats in the US, left-wing parties in France and the Labour party in Britain.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S14.11a).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Voters aged 18 to 34 year-old generally vote more for the Democrats in the US, left parties (socialists-communists-radicals-greens) in France and the Labour party in Britain than voters aged 65-year-old and over, but the difference is highly volatile.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S14.11b).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0.0139</cdr:x>
      <cdr:y>0.87122</cdr:y>
    </cdr:from>
    <cdr:to>
      <cdr:x>0.99392</cdr:x>
      <cdr:y>0.96869</cdr:y>
    </cdr:to>
    <cdr:sp macro="" textlink="">
      <cdr:nvSpPr>
        <cdr:cNvPr id="5" name="Rectangle 4"/>
        <cdr:cNvSpPr/>
      </cdr:nvSpPr>
      <cdr:spPr>
        <a:xfrm xmlns:a="http://schemas.openxmlformats.org/drawingml/2006/main">
          <a:off x="127001" y="4902954"/>
          <a:ext cx="8953500" cy="5485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1956, left parties (socialists-communists-radicals) obtained a score that was 17 points smaller among university graduates than among non-university graduates; in 2012, this score was 8 points higher among university graduates. Controlling for other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S14.11c).</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0.0139</cdr:x>
      <cdr:y>0.87122</cdr:y>
    </cdr:from>
    <cdr:to>
      <cdr:x>0.99392</cdr:x>
      <cdr:y>0.96869</cdr:y>
    </cdr:to>
    <cdr:sp macro="" textlink="">
      <cdr:nvSpPr>
        <cdr:cNvPr id="5" name="Rectangle 4"/>
        <cdr:cNvSpPr/>
      </cdr:nvSpPr>
      <cdr:spPr>
        <a:xfrm xmlns:a="http://schemas.openxmlformats.org/drawingml/2006/main">
          <a:off x="127001" y="4902954"/>
          <a:ext cx="8953500" cy="5485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1956, left parties (socialists-communists-radicals) obtained a score that was 17 points smaller among university graduates than among non-university graduates; in 2012, this score was 8 points higher among university graduates. Controlling for other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S14.11d).</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839325" cy="68961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0.00774</cdr:x>
      <cdr:y>0.88951</cdr:y>
    </cdr:from>
    <cdr:to>
      <cdr:x>0.98451</cdr:x>
      <cdr:y>0.95304</cdr:y>
    </cdr:to>
    <cdr:sp macro="" textlink="">
      <cdr:nvSpPr>
        <cdr:cNvPr id="2" name="Rectangle 1"/>
        <cdr:cNvSpPr/>
      </cdr:nvSpPr>
      <cdr:spPr>
        <a:xfrm xmlns:a="http://schemas.openxmlformats.org/drawingml/2006/main">
          <a:off x="76200" y="6134125"/>
          <a:ext cx="9610695" cy="4381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number of students rise by about 20% in France between 2008 and 2018, while total higher education expenditures rose by less than 10% (in constant euros), hence a fall of about 10% of per student expenditure.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S14.11e).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0.00174</cdr:x>
      <cdr:y>0.88479</cdr:y>
    </cdr:from>
    <cdr:to>
      <cdr:x>0.99544</cdr:x>
      <cdr:y>0.9631</cdr:y>
    </cdr:to>
    <cdr:sp macro="" textlink="">
      <cdr:nvSpPr>
        <cdr:cNvPr id="5" name="Rectangle 4"/>
        <cdr:cNvSpPr/>
      </cdr:nvSpPr>
      <cdr:spPr>
        <a:xfrm xmlns:a="http://schemas.openxmlformats.org/drawingml/2006/main">
          <a:off x="15876" y="4979322"/>
          <a:ext cx="9078528" cy="44070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Catholic voters (practicing or not) have always voted less strongly for left parties than voters with no religion in France, but the gap has narrowed over time. </a:t>
          </a:r>
          <a:r>
            <a:rPr lang="fr-FR" sz="1100" b="0" i="0" baseline="0">
              <a:solidFill>
                <a:schemeClr val="tx1"/>
              </a:solidFill>
              <a:effectLst/>
              <a:latin typeface="Arial Narrow" panose="020B0606020202030204" pitchFamily="34" charset="0"/>
              <a:ea typeface="+mn-ea"/>
              <a:cs typeface="Arial" panose="020B0604020202020204" pitchFamily="34" charset="0"/>
            </a:rPr>
            <a:t>Fine lines indicate 90% confidence intervals.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S14.15a).</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23218"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0.0063</cdr:x>
      <cdr:y>0.90606</cdr:y>
    </cdr:from>
    <cdr:to>
      <cdr:x>1</cdr:x>
      <cdr:y>0.98437</cdr:y>
    </cdr:to>
    <cdr:sp macro="" textlink="">
      <cdr:nvSpPr>
        <cdr:cNvPr id="5" name="Rectangle 4"/>
        <cdr:cNvSpPr/>
      </cdr:nvSpPr>
      <cdr:spPr>
        <a:xfrm xmlns:a="http://schemas.openxmlformats.org/drawingml/2006/main">
          <a:off x="57557" y="5099050"/>
          <a:ext cx="9078506" cy="44070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Catholic voters (practicing or not) have always voted less strongly for left parties than voters with no religion in France. This can be partly explained by socio-economic characterics, but only for a limited part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S14.15b).</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0.03721</cdr:x>
      <cdr:y>0.8811</cdr:y>
    </cdr:from>
    <cdr:to>
      <cdr:x>0.9833</cdr:x>
      <cdr:y>0.98524</cdr:y>
    </cdr:to>
    <cdr:sp macro="" textlink="">
      <cdr:nvSpPr>
        <cdr:cNvPr id="7" name="Rectangle 6"/>
        <cdr:cNvSpPr/>
      </cdr:nvSpPr>
      <cdr:spPr>
        <a:xfrm xmlns:a="http://schemas.openxmlformats.org/drawingml/2006/main">
          <a:off x="339436" y="4962236"/>
          <a:ext cx="8631382"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difference between the proportion of voters voting for left parties among voters describing themselves as Muslims and among other voters is about 40-50 points in France since the 1990s. Fine lines indicate 90% confidence intervals.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S14.17a).</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23218"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0.03771</cdr:x>
      <cdr:y>0.88773</cdr:y>
    </cdr:from>
    <cdr:to>
      <cdr:x>0.9838</cdr:x>
      <cdr:y>0.99187</cdr:y>
    </cdr:to>
    <cdr:sp macro="" textlink="">
      <cdr:nvSpPr>
        <cdr:cNvPr id="5" name="Rectangle 4"/>
        <cdr:cNvSpPr/>
      </cdr:nvSpPr>
      <cdr:spPr>
        <a:xfrm xmlns:a="http://schemas.openxmlformats.org/drawingml/2006/main">
          <a:off x="344488" y="4995862"/>
          <a:ext cx="8643538" cy="58606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difference between the proportion of voters voting for left parties among voters describing themselves as Muslims and among other voters is about 40-50 points in France since the 1990s. This can be partly explained by socio-economic characteristics, but only for a limited part.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S14.17b).</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0.16702</cdr:x>
      <cdr:y>0.29084</cdr:y>
    </cdr:from>
    <cdr:to>
      <cdr:x>0.2323</cdr:x>
      <cdr:y>0.3374</cdr:y>
    </cdr:to>
    <cdr:sp macro="" textlink="">
      <cdr:nvSpPr>
        <cdr:cNvPr id="8" name="ZoneTexte 1"/>
        <cdr:cNvSpPr txBox="1"/>
      </cdr:nvSpPr>
      <cdr:spPr>
        <a:xfrm xmlns:a="http://schemas.openxmlformats.org/drawingml/2006/main">
          <a:off x="1536487" y="1629906"/>
          <a:ext cx="600538"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0.26355</cdr:x>
      <cdr:y>0.36341</cdr:y>
    </cdr:from>
    <cdr:to>
      <cdr:x>0.34258</cdr:x>
      <cdr:y>0.41195</cdr:y>
    </cdr:to>
    <cdr:sp macro="" textlink="">
      <cdr:nvSpPr>
        <cdr:cNvPr id="25" name="ZoneTexte 1"/>
        <cdr:cNvSpPr txBox="1"/>
      </cdr:nvSpPr>
      <cdr:spPr>
        <a:xfrm xmlns:a="http://schemas.openxmlformats.org/drawingml/2006/main">
          <a:off x="2424545" y="2036618"/>
          <a:ext cx="727002" cy="2719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0.38071</cdr:x>
      <cdr:y>0.45422</cdr:y>
    </cdr:from>
    <cdr:to>
      <cdr:x>0.446</cdr:x>
      <cdr:y>0.50078</cdr:y>
    </cdr:to>
    <cdr:sp macro="" textlink="">
      <cdr:nvSpPr>
        <cdr:cNvPr id="27" name="ZoneTexte 1"/>
        <cdr:cNvSpPr txBox="1"/>
      </cdr:nvSpPr>
      <cdr:spPr>
        <a:xfrm xmlns:a="http://schemas.openxmlformats.org/drawingml/2006/main">
          <a:off x="3502320" y="2545523"/>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33%</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0.62152</cdr:x>
      <cdr:y>0.36916</cdr:y>
    </cdr:from>
    <cdr:to>
      <cdr:x>0.68681</cdr:x>
      <cdr:y>0.41572</cdr:y>
    </cdr:to>
    <cdr:sp macro="" textlink="">
      <cdr:nvSpPr>
        <cdr:cNvPr id="28" name="ZoneTexte 1"/>
        <cdr:cNvSpPr txBox="1"/>
      </cdr:nvSpPr>
      <cdr:spPr>
        <a:xfrm xmlns:a="http://schemas.openxmlformats.org/drawingml/2006/main">
          <a:off x="5717640" y="206882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0.72573</cdr:x>
      <cdr:y>0.39541</cdr:y>
    </cdr:from>
    <cdr:to>
      <cdr:x>0.79102</cdr:x>
      <cdr:y>0.44197</cdr:y>
    </cdr:to>
    <cdr:sp macro="" textlink="">
      <cdr:nvSpPr>
        <cdr:cNvPr id="30" name="ZoneTexte 1"/>
        <cdr:cNvSpPr txBox="1"/>
      </cdr:nvSpPr>
      <cdr:spPr>
        <a:xfrm xmlns:a="http://schemas.openxmlformats.org/drawingml/2006/main">
          <a:off x="6676311" y="221592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38%</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0.82787</cdr:x>
      <cdr:y>0.53763</cdr:y>
    </cdr:from>
    <cdr:to>
      <cdr:x>0.89316</cdr:x>
      <cdr:y>0.58419</cdr:y>
    </cdr:to>
    <cdr:sp macro="" textlink="">
      <cdr:nvSpPr>
        <cdr:cNvPr id="34" name="ZoneTexte 1"/>
        <cdr:cNvSpPr txBox="1"/>
      </cdr:nvSpPr>
      <cdr:spPr>
        <a:xfrm xmlns:a="http://schemas.openxmlformats.org/drawingml/2006/main">
          <a:off x="7615929" y="3012978"/>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26%</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0.85826</cdr:y>
    </cdr:from>
    <cdr:to>
      <cdr:x>1</cdr:x>
      <cdr:y>0.98764</cdr:y>
    </cdr:to>
    <cdr:sp macro="" textlink="">
      <cdr:nvSpPr>
        <cdr:cNvPr id="10" name="Rectangle 9"/>
        <cdr:cNvSpPr/>
      </cdr:nvSpPr>
      <cdr:spPr>
        <a:xfrm xmlns:a="http://schemas.openxmlformats.org/drawingml/2006/main">
          <a:off x="15876" y="4809582"/>
          <a:ext cx="9183687" cy="72502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2012, the socialist candidate obtained a score that was 42 points higher among Muslim voters than among other voters; this gap falls to 38 points after controlling for age, sex, family situation, education, income, wealth and father's occupation, and to 26 points if one further controls for foreign orgins (broken down into detailed geographical areas: Italy, Spain, Portugal, other Europe, North Africa, Subsaharan Africa, other non-Europe).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S14.18).</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0.85704</cdr:y>
    </cdr:from>
    <cdr:to>
      <cdr:x>0.99465</cdr:x>
      <cdr:y>0.9579</cdr:y>
    </cdr:to>
    <cdr:sp macro="" textlink="">
      <cdr:nvSpPr>
        <cdr:cNvPr id="6" name="Rectangle 5"/>
        <cdr:cNvSpPr/>
      </cdr:nvSpPr>
      <cdr:spPr>
        <a:xfrm xmlns:a="http://schemas.openxmlformats.org/drawingml/2006/main">
          <a:off x="205483" y="4828284"/>
          <a:ext cx="8889595"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S14.1b).</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0.02867</cdr:x>
      <cdr:y>0.86388</cdr:y>
    </cdr:from>
    <cdr:to>
      <cdr:x>0.96988</cdr:x>
      <cdr:y>0.94711</cdr:y>
    </cdr:to>
    <cdr:sp macro="" textlink="">
      <cdr:nvSpPr>
        <cdr:cNvPr id="6" name="Rectangle 5"/>
        <cdr:cNvSpPr/>
      </cdr:nvSpPr>
      <cdr:spPr>
        <a:xfrm xmlns:a="http://schemas.openxmlformats.org/drawingml/2006/main">
          <a:off x="261938" y="4861647"/>
          <a:ext cx="8598947" cy="4683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1988, 72% of voters believed that there are too many migrants in France (vs 28% thinking the opposite); in 2017, this proportion was 56% (vs 44% thinking the opposite)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S14.19a).</a:t>
          </a:r>
          <a:endParaRPr lang="fr-FR" sz="1200">
            <a:effectLst/>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0.03562</cdr:x>
      <cdr:y>0.86019</cdr:y>
    </cdr:from>
    <cdr:to>
      <cdr:x>0.94584</cdr:x>
      <cdr:y>0.95941</cdr:y>
    </cdr:to>
    <cdr:sp macro="" textlink="">
      <cdr:nvSpPr>
        <cdr:cNvPr id="7" name="Rectangle 6"/>
        <cdr:cNvSpPr/>
      </cdr:nvSpPr>
      <cdr:spPr>
        <a:xfrm xmlns:a="http://schemas.openxmlformats.org/drawingml/2006/main">
          <a:off x="325439" y="4840881"/>
          <a:ext cx="8315816" cy="55837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2002, 63% of voters believed that we should reduce the gap between the rich and the poor (vs 37% thinking the opposite); in 2017, this proportion was equal to 52% (vs 48% thinking the opposite).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exact phrasing of the question is somewhat different in 2002 and in 2007-2012-2017 (see text).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S14.19b).</a:t>
          </a:r>
          <a:endParaRPr lang="fr-FR" sz="1200">
            <a:effectLst/>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0.01845</cdr:x>
      <cdr:y>0.84789</cdr:y>
    </cdr:from>
    <cdr:to>
      <cdr:x>0.99639</cdr:x>
      <cdr:y>1</cdr:y>
    </cdr:to>
    <cdr:sp macro="" textlink="">
      <cdr:nvSpPr>
        <cdr:cNvPr id="5" name="Rectangle 4"/>
        <cdr:cNvSpPr/>
      </cdr:nvSpPr>
      <cdr:spPr>
        <a:xfrm xmlns:a="http://schemas.openxmlformats.org/drawingml/2006/main">
          <a:off x="168563" y="4775200"/>
          <a:ext cx="8935546" cy="8566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2017, 21% of voters can be classified as "internationalists-egalitarians" (they consider that there are not too many migrants and that inequalities between the rich and the poor ought to be reduced); 26% as "nativists-inegalitarians" (they consider that there are too many migrants and that there is no need to reduce the inequalities between the rich and the poor); 23% as "internationalits-inegalitarians" (pro-migrants, pro-rich) and 30% as "nativists-egalitarians" (anti-migrants, pro-poor)</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Fine lines indicate 90% confidence intervals.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S14.19c).</a:t>
          </a:r>
          <a:endParaRPr lang="fr-FR" sz="1200">
            <a:effectLst/>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0.04961</cdr:x>
      <cdr:y>0.86265</cdr:y>
    </cdr:from>
    <cdr:to>
      <cdr:x>0.94381</cdr:x>
      <cdr:y>0.96187</cdr:y>
    </cdr:to>
    <cdr:sp macro="" textlink="">
      <cdr:nvSpPr>
        <cdr:cNvPr id="8" name="Rectangle 7"/>
        <cdr:cNvSpPr/>
      </cdr:nvSpPr>
      <cdr:spPr>
        <a:xfrm xmlns:a="http://schemas.openxmlformats.org/drawingml/2006/main">
          <a:off x="452582" y="4858328"/>
          <a:ext cx="8158019" cy="558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1988, left vote was 31 points higher among voters believing that there are not too many migrants in France; in 2012, this gap was equal to 40 points. Control variables have limited and contradictory impacts on these effects.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S14.19d).</a:t>
          </a:r>
          <a:endParaRPr lang="fr-FR" sz="1200">
            <a:effectLst/>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0.00869</cdr:x>
      <cdr:y>0.73082</cdr:y>
    </cdr:from>
    <cdr:to>
      <cdr:x>0.99371</cdr:x>
      <cdr:y>1</cdr:y>
    </cdr:to>
    <cdr:sp macro="" textlink="">
      <cdr:nvSpPr>
        <cdr:cNvPr id="4" name="Rectangle 3"/>
        <cdr:cNvSpPr/>
      </cdr:nvSpPr>
      <cdr:spPr>
        <a:xfrm xmlns:a="http://schemas.openxmlformats.org/drawingml/2006/main">
          <a:off x="79376" y="4112827"/>
          <a:ext cx="8999200" cy="151486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Wealth tax revenues (ISF, </a:t>
          </a:r>
          <a:r>
            <a:rPr lang="fr-FR" sz="1100" b="0" i="1" baseline="0">
              <a:solidFill>
                <a:schemeClr val="tx1"/>
              </a:solidFill>
              <a:effectLst/>
              <a:latin typeface="Arial" panose="020B0604020202020204" pitchFamily="34" charset="0"/>
              <a:ea typeface="+mn-ea"/>
              <a:cs typeface="Arial" panose="020B0604020202020204" pitchFamily="34" charset="0"/>
            </a:rPr>
            <a:t>impôt sur la fortune</a:t>
          </a:r>
          <a:r>
            <a:rPr lang="fr-FR" sz="1100" b="0" i="0" baseline="0">
              <a:solidFill>
                <a:schemeClr val="tx1"/>
              </a:solidFill>
              <a:effectLst/>
              <a:latin typeface="Arial" panose="020B0604020202020204" pitchFamily="34" charset="0"/>
              <a:ea typeface="+mn-ea"/>
              <a:cs typeface="Arial" panose="020B0604020202020204" pitchFamily="34" charset="0"/>
            </a:rPr>
            <a:t>) have more than quadrupled between 1990 and 2017 (from 1.0 to 4.2 billions euros), while nominal GDP doubled in France. This reflects the very fast growth of the number and size of wealth portfolios reported to ISF, in all wealth brackets, in particular the highest ones, where the highest financial assets have risen even faster than real estate assets. This fast rise of revenues was obtained in spite of numerous tax reductions and loopholes (in particuler bouclier fiscal in 2007), and in spite of the rise in exemption threshold (from 0.6 million euros in 1990 to 1.3 millions euros since 2012). Revenue projections 2018-2022 that are reported here assume that household wealth keeps up with the same trends as in previous periods (three variants), that wealth tax brackets are indexed upon average nominal wealth growth, and that high wealth levels rise at the same speed as average wealth. These should therefore be viewed as lower-bound projections, especially given that tax audit on ISF could greatly be improved (e.g. via pre-filled wealth declarations, etc.).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S14.20).</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0.85704</cdr:y>
    </cdr:from>
    <cdr:to>
      <cdr:x>0.99465</cdr:x>
      <cdr:y>0.9579</cdr:y>
    </cdr:to>
    <cdr:sp macro="" textlink="">
      <cdr:nvSpPr>
        <cdr:cNvPr id="6" name="Rectangle 5"/>
        <cdr:cNvSpPr/>
      </cdr:nvSpPr>
      <cdr:spPr>
        <a:xfrm xmlns:a="http://schemas.openxmlformats.org/drawingml/2006/main">
          <a:off x="205483" y="4828284"/>
          <a:ext cx="8889595"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S14.1c).</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0.89265</cdr:y>
    </cdr:from>
    <cdr:to>
      <cdr:x>0.97331</cdr:x>
      <cdr:y>0.99359</cdr:y>
    </cdr:to>
    <cdr:sp macro="" textlink="">
      <cdr:nvSpPr>
        <cdr:cNvPr id="6" name="Rectangle 5"/>
        <cdr:cNvSpPr/>
      </cdr:nvSpPr>
      <cdr:spPr>
        <a:xfrm xmlns:a="http://schemas.openxmlformats.org/drawingml/2006/main">
          <a:off x="165100" y="5026660"/>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S14.2a).</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2" Type="http://schemas.openxmlformats.org/officeDocument/2006/relationships/hyperlink" Target="http://cache.media.enseignementsup-recherche.gouv.fr/file/2017/29/0/NF_2017-11_Synthese_effectifs_etudiants_2016-2017_num_802290.pdf" TargetMode="External"/><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5" Type="http://schemas.openxmlformats.org/officeDocument/2006/relationships/printerSettings" Target="../printerSettings/printerSettings33.bin"/><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17" t="s">
        <v>307</v>
      </c>
    </row>
    <row r="2" spans="1:1" ht="15.6" x14ac:dyDescent="0.3">
      <c r="A2" s="2" t="s">
        <v>302</v>
      </c>
    </row>
    <row r="3" spans="1:1" ht="15.6" x14ac:dyDescent="0.3">
      <c r="A3" s="116" t="s">
        <v>306</v>
      </c>
    </row>
    <row r="5" spans="1:1" ht="15.6" x14ac:dyDescent="0.3">
      <c r="A5" s="2" t="s">
        <v>303</v>
      </c>
    </row>
    <row r="6" spans="1:1" ht="15.6" x14ac:dyDescent="0.3">
      <c r="A6" s="116" t="s">
        <v>304</v>
      </c>
    </row>
    <row r="7" spans="1:1" ht="15.6" x14ac:dyDescent="0.3">
      <c r="A7" s="116" t="s">
        <v>305</v>
      </c>
    </row>
    <row r="8" spans="1:1" ht="15.6" x14ac:dyDescent="0.3">
      <c r="A8" s="116"/>
    </row>
    <row r="9" spans="1:1" ht="15.6" x14ac:dyDescent="0.3">
      <c r="A9" s="2"/>
    </row>
    <row r="10" spans="1:1" ht="15.6" x14ac:dyDescent="0.3">
      <c r="A10" s="116"/>
    </row>
    <row r="11" spans="1:1" ht="15.6" x14ac:dyDescent="0.3">
      <c r="A11" s="1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F4" activePane="bottomRight" state="frozen"/>
      <selection pane="topRight"/>
      <selection pane="bottomLeft"/>
      <selection pane="bottomRight" activeCell="Q5" sqref="Q5"/>
    </sheetView>
  </sheetViews>
  <sheetFormatPr baseColWidth="10" defaultRowHeight="14.4" x14ac:dyDescent="0.3"/>
  <cols>
    <col min="1" max="1" width="18.33203125" customWidth="1"/>
    <col min="2" max="3" width="15.77734375" customWidth="1"/>
  </cols>
  <sheetData>
    <row r="1" spans="1:16" ht="18" customHeight="1" x14ac:dyDescent="0.3">
      <c r="A1" s="29" t="s">
        <v>266</v>
      </c>
      <c r="B1" s="14"/>
      <c r="C1" s="14"/>
    </row>
    <row r="2" spans="1:16" ht="18" customHeight="1" thickBot="1" x14ac:dyDescent="0.35">
      <c r="A2" s="14"/>
      <c r="B2" s="14"/>
      <c r="C2" s="14"/>
    </row>
    <row r="3" spans="1:16" ht="73.95" customHeight="1" thickTop="1" thickBot="1" x14ac:dyDescent="0.35">
      <c r="A3" s="92" t="s">
        <v>262</v>
      </c>
      <c r="B3" s="68" t="s">
        <v>261</v>
      </c>
      <c r="C3" s="68" t="s">
        <v>260</v>
      </c>
      <c r="D3" s="68" t="s">
        <v>259</v>
      </c>
      <c r="E3" s="68" t="s">
        <v>258</v>
      </c>
      <c r="F3" s="68" t="s">
        <v>257</v>
      </c>
      <c r="G3" s="68" t="s">
        <v>256</v>
      </c>
      <c r="H3" s="68" t="s">
        <v>255</v>
      </c>
      <c r="I3" s="68" t="s">
        <v>254</v>
      </c>
      <c r="J3" s="68" t="s">
        <v>253</v>
      </c>
      <c r="K3" s="68" t="s">
        <v>252</v>
      </c>
      <c r="L3" s="68" t="s">
        <v>251</v>
      </c>
      <c r="M3" s="68" t="s">
        <v>250</v>
      </c>
      <c r="N3" s="68" t="s">
        <v>249</v>
      </c>
      <c r="O3" s="68" t="s">
        <v>248</v>
      </c>
      <c r="P3" s="68" t="s">
        <v>247</v>
      </c>
    </row>
    <row r="4" spans="1:16" ht="18" customHeight="1" thickTop="1" thickBot="1" x14ac:dyDescent="0.35">
      <c r="A4" s="91"/>
      <c r="B4" s="90">
        <v>0.42825266718864441</v>
      </c>
      <c r="C4" s="90">
        <v>0.43664166331291199</v>
      </c>
      <c r="D4" s="90">
        <v>0.43688341975212097</v>
      </c>
      <c r="E4" s="90">
        <v>0.50999999046325684</v>
      </c>
      <c r="F4" s="90">
        <v>0.49199998378753662</v>
      </c>
      <c r="G4" s="90">
        <v>0.47400000691413879</v>
      </c>
      <c r="H4" s="90">
        <v>0.54000002145767212</v>
      </c>
      <c r="I4" s="90">
        <v>0.47200000286102295</v>
      </c>
      <c r="J4" s="90">
        <v>0.47257512807846069</v>
      </c>
      <c r="K4" s="90">
        <v>0.42704889178276062</v>
      </c>
      <c r="L4" s="90">
        <v>0.50995165109634399</v>
      </c>
      <c r="M4" s="90">
        <v>0.44583088159561157</v>
      </c>
      <c r="N4" s="90">
        <v>0.46935823559761047</v>
      </c>
      <c r="O4" s="90">
        <v>0.45296782255172729</v>
      </c>
      <c r="P4" s="90">
        <v>0.51478174328804016</v>
      </c>
    </row>
    <row r="5" spans="1:16" ht="18" customHeight="1" thickTop="1" x14ac:dyDescent="0.3">
      <c r="A5" s="91" t="s">
        <v>246</v>
      </c>
      <c r="B5" s="90">
        <v>0.38275879621505737</v>
      </c>
      <c r="C5" s="90">
        <v>0.38158389925956726</v>
      </c>
      <c r="D5" s="90">
        <v>0.39343056082725525</v>
      </c>
      <c r="E5" s="90">
        <v>0.45861884951591492</v>
      </c>
      <c r="F5" s="90">
        <v>0.42556750774383545</v>
      </c>
      <c r="G5" s="90">
        <v>0.4336378276348114</v>
      </c>
      <c r="H5" s="90">
        <v>0.56478112936019897</v>
      </c>
      <c r="I5" s="90">
        <v>0.44207030534744263</v>
      </c>
      <c r="J5" s="90">
        <v>0.4481469988822937</v>
      </c>
      <c r="K5" s="90">
        <v>0.40392968058586121</v>
      </c>
      <c r="L5" s="90">
        <v>0.4451594352722168</v>
      </c>
      <c r="M5" s="90">
        <v>0.39401489496231079</v>
      </c>
      <c r="N5" s="90">
        <v>0.46527373790740967</v>
      </c>
      <c r="O5" s="90">
        <v>0.44044283032417297</v>
      </c>
      <c r="P5" s="90">
        <v>0.58815985918045044</v>
      </c>
    </row>
    <row r="6" spans="1:16" ht="18" customHeight="1" x14ac:dyDescent="0.3">
      <c r="A6" s="48" t="s">
        <v>245</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8" t="s">
        <v>244</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8" t="s">
        <v>243</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8" t="s">
        <v>242</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8" t="s">
        <v>241</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8" t="s">
        <v>240</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8" t="s">
        <v>239</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8" t="s">
        <v>238</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8" t="s">
        <v>237</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8" t="s">
        <v>236</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8" t="s">
        <v>235</v>
      </c>
      <c r="B16" s="7">
        <v>0.2037077397108078</v>
      </c>
      <c r="C16" s="7">
        <v>0.14576326310634613</v>
      </c>
      <c r="D16" s="19">
        <v>0.26209849119186401</v>
      </c>
      <c r="E16" s="19">
        <v>0.1738840788602829</v>
      </c>
      <c r="F16" s="19">
        <v>0.21012842655181885</v>
      </c>
      <c r="G16" s="19">
        <v>0.14087177813053131</v>
      </c>
      <c r="H16" s="19">
        <v>0.32753700017929077</v>
      </c>
      <c r="I16" s="19">
        <v>0.26214650273323059</v>
      </c>
      <c r="J16" s="19">
        <v>0.27771523594856262</v>
      </c>
      <c r="K16" s="19">
        <v>0.28712233901023865</v>
      </c>
      <c r="L16" s="19">
        <v>0.67152434587478638</v>
      </c>
      <c r="M16" s="19">
        <v>0.37246569991111755</v>
      </c>
      <c r="N16" s="19">
        <v>0.35801383852958679</v>
      </c>
      <c r="O16" s="19">
        <v>0.7544446587562561</v>
      </c>
      <c r="P16" s="19">
        <v>0.36130283027887344</v>
      </c>
    </row>
    <row r="17" ht="15" thickTop="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D1" workbookViewId="0">
      <selection activeCell="Q5" sqref="Q5:Q16"/>
    </sheetView>
  </sheetViews>
  <sheetFormatPr baseColWidth="10" defaultRowHeight="14.4" x14ac:dyDescent="0.3"/>
  <cols>
    <col min="1" max="1" width="18.6640625" customWidth="1"/>
    <col min="2" max="2" width="15.77734375" customWidth="1"/>
    <col min="3" max="3" width="16.5546875" customWidth="1"/>
    <col min="4" max="4" width="15.33203125" customWidth="1"/>
    <col min="6" max="6" width="14.5546875" customWidth="1"/>
    <col min="8" max="8" width="13.5546875" customWidth="1"/>
  </cols>
  <sheetData>
    <row r="1" spans="1:17" ht="18" customHeight="1" thickBot="1" x14ac:dyDescent="0.35">
      <c r="A1" s="29" t="s">
        <v>266</v>
      </c>
      <c r="B1" s="14"/>
    </row>
    <row r="2" spans="1:17" ht="40.049999999999997" customHeight="1" thickTop="1" thickBot="1" x14ac:dyDescent="0.35">
      <c r="A2" s="172"/>
      <c r="B2" s="172"/>
    </row>
    <row r="3" spans="1:17" ht="84.6" customHeight="1" thickTop="1" thickBot="1" x14ac:dyDescent="0.35">
      <c r="A3" s="71" t="s">
        <v>265</v>
      </c>
      <c r="B3" s="68" t="s">
        <v>258</v>
      </c>
      <c r="C3" s="68" t="s">
        <v>257</v>
      </c>
      <c r="D3" s="68" t="s">
        <v>256</v>
      </c>
      <c r="E3" s="68" t="s">
        <v>255</v>
      </c>
      <c r="F3" s="68" t="s">
        <v>254</v>
      </c>
      <c r="G3" s="68" t="s">
        <v>253</v>
      </c>
      <c r="H3" s="68" t="s">
        <v>252</v>
      </c>
      <c r="I3" s="68" t="s">
        <v>251</v>
      </c>
      <c r="J3" s="68" t="s">
        <v>264</v>
      </c>
      <c r="K3" s="68" t="s">
        <v>250</v>
      </c>
      <c r="L3" s="68" t="s">
        <v>249</v>
      </c>
      <c r="M3" s="68" t="s">
        <v>248</v>
      </c>
      <c r="N3" s="68" t="s">
        <v>263</v>
      </c>
      <c r="O3" s="68" t="s">
        <v>247</v>
      </c>
    </row>
    <row r="4" spans="1:17" ht="15" customHeight="1" thickTop="1" thickBot="1" x14ac:dyDescent="0.35">
      <c r="A4" s="71"/>
      <c r="B4" s="68"/>
      <c r="C4" s="68"/>
      <c r="D4" s="68"/>
      <c r="E4" s="68"/>
      <c r="F4" s="68"/>
      <c r="G4" s="68"/>
      <c r="H4" s="68"/>
      <c r="I4" s="68"/>
      <c r="J4" s="68"/>
      <c r="K4" s="68"/>
      <c r="L4" s="68"/>
      <c r="M4" s="68"/>
      <c r="N4" s="68"/>
      <c r="O4" s="68"/>
    </row>
    <row r="5" spans="1:17" ht="18" customHeight="1" thickTop="1" x14ac:dyDescent="0.3">
      <c r="A5" s="96" t="s">
        <v>246</v>
      </c>
      <c r="B5" s="90">
        <v>0.68764090538024902</v>
      </c>
      <c r="C5" s="90">
        <v>0.65793770551681519</v>
      </c>
      <c r="D5" s="90">
        <v>0.68213486671447754</v>
      </c>
      <c r="E5" s="90">
        <v>0.70314192771911621</v>
      </c>
      <c r="F5" s="90">
        <v>0.61890274286270142</v>
      </c>
      <c r="G5" s="90">
        <v>0.59532397985458374</v>
      </c>
      <c r="H5" s="90">
        <v>0.5080726146697998</v>
      </c>
      <c r="I5" s="90">
        <v>0.44661995768547058</v>
      </c>
      <c r="J5" s="90">
        <v>0.4559500515460968</v>
      </c>
      <c r="K5" s="90">
        <v>0.48498079180717468</v>
      </c>
      <c r="L5" s="90">
        <v>0.57275795936584473</v>
      </c>
      <c r="M5" s="90">
        <v>0.37936303019523621</v>
      </c>
      <c r="N5" s="90">
        <v>0.4397907555103302</v>
      </c>
      <c r="O5" s="90">
        <v>0.64182978868484497</v>
      </c>
      <c r="Q5" s="97">
        <v>0.5</v>
      </c>
    </row>
    <row r="6" spans="1:17" ht="18" customHeight="1" x14ac:dyDescent="0.3">
      <c r="A6" s="95" t="s">
        <v>245</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97">
        <v>0.5</v>
      </c>
    </row>
    <row r="7" spans="1:17" ht="18" customHeight="1" x14ac:dyDescent="0.3">
      <c r="A7" s="95" t="s">
        <v>244</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97">
        <v>0.5</v>
      </c>
    </row>
    <row r="8" spans="1:17" ht="18" customHeight="1" x14ac:dyDescent="0.3">
      <c r="A8" s="95" t="s">
        <v>243</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97">
        <v>0.5</v>
      </c>
    </row>
    <row r="9" spans="1:17" ht="18" customHeight="1" x14ac:dyDescent="0.3">
      <c r="A9" s="95" t="s">
        <v>242</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97">
        <v>0.5</v>
      </c>
    </row>
    <row r="10" spans="1:17" ht="18" customHeight="1" x14ac:dyDescent="0.3">
      <c r="A10" s="95" t="s">
        <v>241</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97">
        <v>0.5</v>
      </c>
    </row>
    <row r="11" spans="1:17" ht="18" customHeight="1" x14ac:dyDescent="0.3">
      <c r="A11" s="95" t="s">
        <v>240</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97">
        <v>0.5</v>
      </c>
    </row>
    <row r="12" spans="1:17" ht="18" customHeight="1" x14ac:dyDescent="0.3">
      <c r="A12" s="95" t="s">
        <v>239</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97">
        <v>0.5</v>
      </c>
    </row>
    <row r="13" spans="1:17" ht="18" customHeight="1" x14ac:dyDescent="0.3">
      <c r="A13" s="95" t="s">
        <v>238</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97">
        <v>0.5</v>
      </c>
    </row>
    <row r="14" spans="1:17" ht="18" customHeight="1" x14ac:dyDescent="0.3">
      <c r="A14" s="95" t="s">
        <v>237</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97">
        <v>0.5</v>
      </c>
    </row>
    <row r="15" spans="1:17" ht="18" customHeight="1" x14ac:dyDescent="0.3">
      <c r="A15" s="95" t="s">
        <v>236</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97">
        <v>0.5</v>
      </c>
    </row>
    <row r="16" spans="1:17" ht="18" customHeight="1" thickBot="1" x14ac:dyDescent="0.35">
      <c r="A16" s="94" t="s">
        <v>235</v>
      </c>
      <c r="B16" s="19">
        <v>0.1254783421754837</v>
      </c>
      <c r="C16" s="19">
        <v>0.21420082449913025</v>
      </c>
      <c r="D16" s="19">
        <v>0.12549009919166565</v>
      </c>
      <c r="E16" s="19">
        <v>0.27476844191551208</v>
      </c>
      <c r="F16" s="19">
        <v>0.17322561144828796</v>
      </c>
      <c r="G16" s="19">
        <v>0.27707096934318542</v>
      </c>
      <c r="H16" s="19">
        <v>0.28893643617630005</v>
      </c>
      <c r="I16" s="19">
        <v>0.53120023012161255</v>
      </c>
      <c r="J16" s="19">
        <v>0.66605991125106812</v>
      </c>
      <c r="K16" s="19">
        <v>0.34517335891723633</v>
      </c>
      <c r="L16" s="19">
        <v>0.30684566497802734</v>
      </c>
      <c r="M16" s="19">
        <v>0.57898829221725401</v>
      </c>
      <c r="N16" s="19">
        <v>0.60921257734298706</v>
      </c>
      <c r="O16" s="19">
        <v>0.31334111094474792</v>
      </c>
      <c r="Q16" s="97">
        <v>0.5</v>
      </c>
    </row>
    <row r="17" spans="1:2" ht="18" customHeight="1" thickTop="1" x14ac:dyDescent="0.3">
      <c r="A17" s="173"/>
      <c r="B17" s="173"/>
    </row>
    <row r="18" spans="1:2" ht="18" customHeight="1" x14ac:dyDescent="0.3">
      <c r="A18" s="173"/>
      <c r="B18" s="173"/>
    </row>
    <row r="19" spans="1:2" ht="18" customHeight="1" x14ac:dyDescent="0.3">
      <c r="A19" s="173"/>
      <c r="B19" s="173"/>
    </row>
    <row r="20" spans="1:2" ht="18" customHeight="1" x14ac:dyDescent="0.3">
      <c r="A20" s="173"/>
      <c r="B20" s="173"/>
    </row>
    <row r="21" spans="1:2" ht="18" customHeight="1" x14ac:dyDescent="0.3">
      <c r="A21" s="173"/>
      <c r="B21" s="173"/>
    </row>
    <row r="22" spans="1:2" ht="18" customHeight="1" x14ac:dyDescent="0.3">
      <c r="A22" s="173"/>
      <c r="B22" s="173"/>
    </row>
    <row r="23" spans="1:2" ht="18" customHeight="1" x14ac:dyDescent="0.3">
      <c r="A23" s="173"/>
      <c r="B23" s="173"/>
    </row>
    <row r="24" spans="1:2" ht="18" customHeight="1" x14ac:dyDescent="0.3">
      <c r="A24" s="173"/>
      <c r="B24" s="173"/>
    </row>
    <row r="25" spans="1:2" ht="18" customHeight="1" x14ac:dyDescent="0.3">
      <c r="A25" s="173"/>
      <c r="B25" s="173"/>
    </row>
    <row r="26" spans="1:2" ht="18" customHeight="1" thickBot="1" x14ac:dyDescent="0.35">
      <c r="A26" s="174"/>
      <c r="B26" s="174"/>
    </row>
    <row r="27" spans="1:2" ht="18" customHeight="1" thickTop="1" x14ac:dyDescent="0.3">
      <c r="A27" s="14"/>
      <c r="B27" s="93"/>
    </row>
    <row r="28" spans="1:2" ht="18" customHeight="1" x14ac:dyDescent="0.3">
      <c r="A28" s="14"/>
      <c r="B28" s="14"/>
    </row>
  </sheetData>
  <mergeCells count="2">
    <mergeCell ref="A2:B2"/>
    <mergeCell ref="A17:B2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AE11"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1" width="10.77734375" customWidth="1"/>
  </cols>
  <sheetData>
    <row r="1" spans="1:97" ht="15.6" x14ac:dyDescent="0.3">
      <c r="A1" s="29" t="s">
        <v>234</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99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98</v>
      </c>
    </row>
    <row r="5" spans="1:97" ht="18" customHeight="1" thickTop="1" thickBot="1" x14ac:dyDescent="0.35">
      <c r="A5" s="132" t="s">
        <v>0</v>
      </c>
      <c r="B5" s="151" t="s">
        <v>20</v>
      </c>
      <c r="C5" s="151"/>
      <c r="D5" s="151" t="s">
        <v>67</v>
      </c>
      <c r="E5" s="151"/>
      <c r="F5" s="151" t="s">
        <v>66</v>
      </c>
      <c r="G5" s="151"/>
      <c r="H5" s="44"/>
      <c r="I5" s="155" t="s">
        <v>65</v>
      </c>
      <c r="J5" s="156"/>
      <c r="K5" s="157"/>
      <c r="L5" s="155" t="s">
        <v>64</v>
      </c>
      <c r="M5" s="156"/>
      <c r="N5" s="157"/>
      <c r="O5" s="155" t="s">
        <v>63</v>
      </c>
      <c r="P5" s="156"/>
      <c r="Q5" s="156"/>
      <c r="R5" s="156"/>
      <c r="S5" s="156"/>
      <c r="T5" s="157"/>
      <c r="U5" s="160" t="s">
        <v>97</v>
      </c>
      <c r="V5" s="161"/>
      <c r="W5" s="161"/>
      <c r="X5" s="161"/>
      <c r="Y5" s="161"/>
      <c r="Z5" s="161"/>
      <c r="AA5" s="161"/>
      <c r="AB5" s="161"/>
      <c r="AC5" s="161"/>
      <c r="AD5" s="64" t="s">
        <v>75</v>
      </c>
      <c r="AE5" s="65"/>
      <c r="AF5" s="65"/>
      <c r="AG5" s="65"/>
      <c r="AH5" s="65"/>
      <c r="AI5" s="64" t="s">
        <v>96</v>
      </c>
      <c r="AJ5" s="65"/>
      <c r="AK5" s="65"/>
      <c r="AL5" s="158" t="s">
        <v>95</v>
      </c>
      <c r="AM5" s="159"/>
      <c r="AN5" s="48"/>
      <c r="AO5" s="48"/>
      <c r="AP5" s="1" t="s">
        <v>94</v>
      </c>
      <c r="AQ5" s="1" t="s">
        <v>93</v>
      </c>
      <c r="AR5" s="1" t="s">
        <v>92</v>
      </c>
    </row>
    <row r="6" spans="1:97" ht="60" customHeight="1" thickTop="1" thickBot="1" x14ac:dyDescent="0.35">
      <c r="A6" s="135"/>
      <c r="B6" s="66" t="s">
        <v>56</v>
      </c>
      <c r="C6" s="63" t="s">
        <v>57</v>
      </c>
      <c r="D6" s="40" t="s">
        <v>59</v>
      </c>
      <c r="E6" s="40" t="s">
        <v>58</v>
      </c>
      <c r="F6" s="40" t="s">
        <v>56</v>
      </c>
      <c r="G6" s="40" t="s">
        <v>57</v>
      </c>
      <c r="H6" s="66" t="s">
        <v>56</v>
      </c>
      <c r="I6" s="66" t="s">
        <v>55</v>
      </c>
      <c r="J6" s="66" t="s">
        <v>54</v>
      </c>
      <c r="K6" s="66" t="s">
        <v>53</v>
      </c>
      <c r="L6" s="66" t="s">
        <v>52</v>
      </c>
      <c r="M6" s="66" t="s">
        <v>51</v>
      </c>
      <c r="N6" s="66" t="s">
        <v>50</v>
      </c>
      <c r="O6" s="66" t="s">
        <v>25</v>
      </c>
      <c r="P6" s="66" t="s">
        <v>24</v>
      </c>
      <c r="Q6" s="66" t="s">
        <v>23</v>
      </c>
      <c r="R6" s="66" t="s">
        <v>22</v>
      </c>
      <c r="S6" s="66" t="s">
        <v>91</v>
      </c>
      <c r="T6" s="66" t="s">
        <v>90</v>
      </c>
      <c r="U6" s="66" t="s">
        <v>89</v>
      </c>
      <c r="V6" s="66" t="s">
        <v>88</v>
      </c>
      <c r="W6" s="66" t="s">
        <v>72</v>
      </c>
      <c r="X6" s="66" t="s">
        <v>70</v>
      </c>
      <c r="Y6" s="66" t="s">
        <v>87</v>
      </c>
      <c r="Z6" s="66" t="s">
        <v>86</v>
      </c>
      <c r="AA6" s="66" t="s">
        <v>88</v>
      </c>
      <c r="AB6" s="66" t="s">
        <v>72</v>
      </c>
      <c r="AC6" s="66" t="s">
        <v>70</v>
      </c>
      <c r="AD6" s="66" t="s">
        <v>87</v>
      </c>
      <c r="AE6" s="66" t="s">
        <v>86</v>
      </c>
      <c r="AF6" s="66" t="s">
        <v>72</v>
      </c>
      <c r="AG6" s="66" t="s">
        <v>71</v>
      </c>
      <c r="AH6" s="66" t="s">
        <v>70</v>
      </c>
      <c r="AI6" s="66" t="s">
        <v>85</v>
      </c>
      <c r="AJ6" s="66" t="s">
        <v>84</v>
      </c>
      <c r="AK6" s="66" t="s">
        <v>83</v>
      </c>
      <c r="AL6" s="66" t="s">
        <v>82</v>
      </c>
      <c r="AM6" s="66" t="s">
        <v>81</v>
      </c>
      <c r="AN6" s="66" t="s">
        <v>80</v>
      </c>
      <c r="AO6" s="66" t="s">
        <v>79</v>
      </c>
      <c r="AP6" s="66"/>
      <c r="AQ6" s="66"/>
      <c r="AR6" s="66"/>
      <c r="AS6" s="66"/>
      <c r="AT6" s="66"/>
      <c r="AU6" s="66"/>
      <c r="AW6" s="66"/>
      <c r="AX6" s="66"/>
      <c r="AY6" s="66"/>
      <c r="AZ6" s="66"/>
      <c r="BA6" s="66"/>
      <c r="BC6" s="66"/>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DataG14.15!CO58</f>
        <v>0.48937728023788574</v>
      </c>
      <c r="AQ22" s="6">
        <f>DataG14.15!CW58</f>
        <v>0.41598260962404848</v>
      </c>
      <c r="AR22" s="6">
        <f>DataG14.15!CY58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DataG14.15!CO63</f>
        <v>0.4151543116134937</v>
      </c>
      <c r="AQ23" s="6">
        <f>DataG14.15!CW63</f>
        <v>0.38494387847892403</v>
      </c>
      <c r="AR23" s="6">
        <f>DataG14.15!CY63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78</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76</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64" t="s">
        <v>75</v>
      </c>
    </row>
    <row r="33" spans="1:6" ht="45.6" thickTop="1" x14ac:dyDescent="0.3">
      <c r="B33" s="66" t="s">
        <v>74</v>
      </c>
      <c r="C33" s="66" t="s">
        <v>73</v>
      </c>
      <c r="D33" s="66" t="s">
        <v>72</v>
      </c>
      <c r="E33" s="66" t="s">
        <v>71</v>
      </c>
      <c r="F33" s="66" t="s">
        <v>70</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5"/>
    </row>
    <row r="44" spans="1:6" ht="15.6" x14ac:dyDescent="0.3">
      <c r="A44" s="45" t="s">
        <v>271</v>
      </c>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DL51" activePane="bottomRight" state="frozen"/>
      <selection activeCell="A21" sqref="A21:O29"/>
      <selection pane="topRight" activeCell="A21" sqref="A21:O29"/>
      <selection pane="bottomLeft" activeCell="A21" sqref="A21:O29"/>
      <selection pane="bottomRight" activeCell="DR68" sqref="DR68:DY68"/>
    </sheetView>
  </sheetViews>
  <sheetFormatPr baseColWidth="10" defaultRowHeight="14.4" x14ac:dyDescent="0.3"/>
  <cols>
    <col min="1" max="14" width="10.77734375" customWidth="1"/>
  </cols>
  <sheetData>
    <row r="1" spans="1:129" ht="18" customHeight="1" thickBot="1" x14ac:dyDescent="0.35">
      <c r="A1" s="29" t="s">
        <v>268</v>
      </c>
      <c r="B1" s="14"/>
      <c r="C1" s="14"/>
      <c r="D1" s="14"/>
      <c r="E1" s="14"/>
      <c r="F1" s="14"/>
      <c r="G1" s="14"/>
      <c r="H1" s="14"/>
      <c r="I1" s="14"/>
      <c r="J1" s="14"/>
      <c r="K1" s="14"/>
      <c r="L1" s="14"/>
      <c r="M1" s="14"/>
      <c r="N1" s="14"/>
    </row>
    <row r="2" spans="1:129" ht="40.049999999999997" customHeight="1" thickTop="1" thickBot="1" x14ac:dyDescent="0.35">
      <c r="A2" s="152" t="s">
        <v>145</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32" t="s">
        <v>0</v>
      </c>
      <c r="B4" s="136" t="s">
        <v>144</v>
      </c>
      <c r="C4" s="137"/>
      <c r="D4" s="137"/>
      <c r="E4" s="137"/>
      <c r="F4" s="137"/>
      <c r="G4" s="137"/>
      <c r="H4" s="137"/>
      <c r="I4" s="137"/>
      <c r="J4" s="137"/>
      <c r="K4" s="137"/>
      <c r="L4" s="137"/>
      <c r="M4" s="137"/>
      <c r="N4" s="162"/>
      <c r="O4" s="136" t="s">
        <v>143</v>
      </c>
      <c r="P4" s="137"/>
      <c r="Q4" s="137"/>
      <c r="R4" s="137"/>
      <c r="S4" s="137"/>
      <c r="T4" s="137"/>
      <c r="U4" s="137"/>
      <c r="V4" s="137"/>
      <c r="W4" s="137"/>
      <c r="X4" s="137"/>
      <c r="Y4" s="137"/>
      <c r="Z4" s="162"/>
      <c r="AA4" s="136" t="s">
        <v>142</v>
      </c>
      <c r="AB4" s="137"/>
      <c r="AC4" s="137"/>
      <c r="AD4" s="137"/>
      <c r="AE4" s="137"/>
      <c r="AF4" s="137"/>
      <c r="AG4" s="137"/>
      <c r="AH4" s="137"/>
      <c r="AI4" s="137"/>
      <c r="AJ4" s="137"/>
      <c r="AK4" s="162"/>
      <c r="AL4" s="70" t="s">
        <v>1</v>
      </c>
      <c r="AN4" s="70"/>
      <c r="AO4" s="70"/>
      <c r="AP4" s="70"/>
      <c r="AQ4" s="70"/>
      <c r="AR4" s="70"/>
      <c r="AS4" s="70"/>
      <c r="AT4" s="70"/>
      <c r="AU4" s="70"/>
      <c r="AV4" s="70"/>
      <c r="AW4" s="136" t="s">
        <v>2</v>
      </c>
      <c r="AX4" s="137"/>
      <c r="AY4" s="137"/>
      <c r="AZ4" s="137"/>
      <c r="BA4" s="137"/>
      <c r="BB4" s="137"/>
      <c r="BC4" s="137"/>
      <c r="BD4" s="137"/>
      <c r="BE4" s="137"/>
      <c r="BF4" s="137"/>
      <c r="BG4" s="162"/>
      <c r="BH4" s="136" t="s">
        <v>3</v>
      </c>
      <c r="BI4" s="137"/>
      <c r="BJ4" s="137"/>
      <c r="BK4" s="137"/>
      <c r="BL4" s="137"/>
      <c r="BM4" s="137"/>
      <c r="BN4" s="137"/>
      <c r="BO4" s="137"/>
      <c r="BP4" s="137"/>
      <c r="BQ4" s="137"/>
      <c r="BR4" s="162"/>
      <c r="BS4" s="136" t="s">
        <v>141</v>
      </c>
      <c r="BT4" s="137"/>
      <c r="BU4" s="137"/>
      <c r="BV4" s="137"/>
      <c r="BW4" s="137"/>
      <c r="BX4" s="137"/>
      <c r="BY4" s="137"/>
      <c r="BZ4" s="137"/>
      <c r="CA4" s="137"/>
      <c r="CB4" s="137"/>
      <c r="CC4" s="162"/>
      <c r="CD4" s="136" t="s">
        <v>140</v>
      </c>
      <c r="CE4" s="137"/>
      <c r="CF4" s="137"/>
      <c r="CG4" s="137"/>
      <c r="CH4" s="137"/>
      <c r="CI4" s="137"/>
      <c r="CJ4" s="137"/>
      <c r="CK4" s="137"/>
      <c r="CL4" s="137"/>
      <c r="CM4" s="137"/>
      <c r="CN4" s="162"/>
      <c r="CO4" s="136" t="s">
        <v>139</v>
      </c>
      <c r="CP4" s="137"/>
      <c r="CQ4" s="137"/>
      <c r="CR4" s="137"/>
      <c r="CS4" s="137"/>
      <c r="CT4" s="137"/>
      <c r="CU4" s="137"/>
      <c r="CV4" s="137"/>
      <c r="CW4" s="137"/>
      <c r="CX4" s="137"/>
      <c r="CY4" s="162"/>
      <c r="CZ4" s="58" t="s">
        <v>138</v>
      </c>
      <c r="DA4" s="57"/>
      <c r="DB4" s="48"/>
      <c r="DC4" s="48"/>
      <c r="DD4" s="13"/>
      <c r="DE4" s="13"/>
      <c r="DF4" s="13"/>
      <c r="DG4" s="56"/>
      <c r="DJ4" s="58" t="s">
        <v>137</v>
      </c>
      <c r="DK4" s="57"/>
      <c r="DL4" s="48"/>
      <c r="DM4" s="48"/>
      <c r="DN4" s="13"/>
      <c r="DO4" s="13"/>
      <c r="DP4" s="13"/>
      <c r="DQ4" s="56"/>
    </row>
    <row r="5" spans="1:129" ht="79.95" customHeight="1" thickTop="1" thickBot="1" x14ac:dyDescent="0.35">
      <c r="A5" s="135"/>
      <c r="B5" s="72" t="s">
        <v>118</v>
      </c>
      <c r="C5" s="72" t="s">
        <v>113</v>
      </c>
      <c r="D5" s="72" t="s">
        <v>117</v>
      </c>
      <c r="E5" s="72" t="s">
        <v>136</v>
      </c>
      <c r="F5" s="72" t="s">
        <v>4</v>
      </c>
      <c r="G5" s="72" t="s">
        <v>135</v>
      </c>
      <c r="H5" s="72" t="s">
        <v>134</v>
      </c>
      <c r="I5" s="72" t="s">
        <v>133</v>
      </c>
      <c r="J5" s="72" t="s">
        <v>132</v>
      </c>
      <c r="K5" s="72" t="s">
        <v>131</v>
      </c>
      <c r="L5" s="55"/>
      <c r="M5" s="55"/>
      <c r="O5" s="72" t="s">
        <v>118</v>
      </c>
      <c r="P5" s="72" t="s">
        <v>113</v>
      </c>
      <c r="Q5" s="72" t="s">
        <v>117</v>
      </c>
      <c r="R5" s="72" t="s">
        <v>5</v>
      </c>
      <c r="S5" s="72" t="s">
        <v>4</v>
      </c>
      <c r="T5" s="72" t="s">
        <v>130</v>
      </c>
      <c r="U5" s="72" t="s">
        <v>129</v>
      </c>
      <c r="V5" s="72" t="s">
        <v>128</v>
      </c>
      <c r="W5" s="72" t="s">
        <v>127</v>
      </c>
      <c r="X5" s="72"/>
      <c r="AA5" s="72" t="s">
        <v>118</v>
      </c>
      <c r="AB5" s="72" t="s">
        <v>113</v>
      </c>
      <c r="AC5" s="72" t="s">
        <v>117</v>
      </c>
      <c r="AD5" s="72" t="s">
        <v>5</v>
      </c>
      <c r="AE5" s="72" t="s">
        <v>4</v>
      </c>
      <c r="AF5" s="72" t="s">
        <v>112</v>
      </c>
      <c r="AG5" s="72" t="s">
        <v>6</v>
      </c>
      <c r="AH5" s="72" t="s">
        <v>124</v>
      </c>
      <c r="AI5" s="72" t="s">
        <v>126</v>
      </c>
      <c r="AJ5" s="72" t="s">
        <v>125</v>
      </c>
      <c r="AL5" s="72" t="s">
        <v>118</v>
      </c>
      <c r="AM5" s="72" t="s">
        <v>113</v>
      </c>
      <c r="AN5" s="72" t="s">
        <v>117</v>
      </c>
      <c r="AO5" s="72" t="s">
        <v>5</v>
      </c>
      <c r="AP5" s="72" t="s">
        <v>4</v>
      </c>
      <c r="AQ5" s="72" t="s">
        <v>112</v>
      </c>
      <c r="AR5" s="72" t="s">
        <v>6</v>
      </c>
      <c r="AS5" s="72" t="s">
        <v>124</v>
      </c>
      <c r="AT5" s="72"/>
      <c r="AW5" s="72" t="s">
        <v>118</v>
      </c>
      <c r="AX5" s="72" t="s">
        <v>113</v>
      </c>
      <c r="AY5" s="72" t="s">
        <v>117</v>
      </c>
      <c r="AZ5" s="72" t="s">
        <v>5</v>
      </c>
      <c r="BA5" s="72" t="s">
        <v>4</v>
      </c>
      <c r="BB5" s="72" t="s">
        <v>112</v>
      </c>
      <c r="BC5" s="72" t="s">
        <v>7</v>
      </c>
      <c r="BD5" s="72" t="s">
        <v>121</v>
      </c>
      <c r="BE5" s="72" t="s">
        <v>123</v>
      </c>
      <c r="BF5" s="72" t="s">
        <v>122</v>
      </c>
      <c r="BH5" s="72" t="s">
        <v>118</v>
      </c>
      <c r="BI5" s="72" t="s">
        <v>113</v>
      </c>
      <c r="BJ5" s="72" t="s">
        <v>117</v>
      </c>
      <c r="BK5" s="72" t="s">
        <v>5</v>
      </c>
      <c r="BL5" s="72" t="s">
        <v>4</v>
      </c>
      <c r="BM5" s="72" t="s">
        <v>112</v>
      </c>
      <c r="BN5" s="72" t="s">
        <v>7</v>
      </c>
      <c r="BO5" s="72" t="s">
        <v>121</v>
      </c>
      <c r="BP5" s="72" t="s">
        <v>120</v>
      </c>
      <c r="BQ5" s="72" t="s">
        <v>119</v>
      </c>
      <c r="BS5" s="72" t="s">
        <v>118</v>
      </c>
      <c r="BT5" s="72" t="s">
        <v>113</v>
      </c>
      <c r="BU5" s="72" t="s">
        <v>117</v>
      </c>
      <c r="BV5" s="72" t="s">
        <v>5</v>
      </c>
      <c r="BW5" s="72" t="s">
        <v>4</v>
      </c>
      <c r="BX5" s="72" t="s">
        <v>112</v>
      </c>
      <c r="BY5" s="72" t="s">
        <v>7</v>
      </c>
      <c r="BZ5" s="72" t="s">
        <v>111</v>
      </c>
      <c r="CA5" s="72" t="s">
        <v>110</v>
      </c>
      <c r="CB5" s="72"/>
      <c r="CD5" s="72" t="s">
        <v>118</v>
      </c>
      <c r="CE5" s="72" t="s">
        <v>113</v>
      </c>
      <c r="CF5" s="72" t="s">
        <v>117</v>
      </c>
      <c r="CG5" s="72" t="s">
        <v>5</v>
      </c>
      <c r="CH5" s="72" t="s">
        <v>4</v>
      </c>
      <c r="CI5" s="72" t="s">
        <v>112</v>
      </c>
      <c r="CJ5" s="72" t="s">
        <v>7</v>
      </c>
      <c r="CK5" s="72" t="s">
        <v>111</v>
      </c>
      <c r="CL5" s="72" t="s">
        <v>110</v>
      </c>
      <c r="CM5" s="72"/>
      <c r="CO5" s="72" t="s">
        <v>118</v>
      </c>
      <c r="CP5" s="72" t="s">
        <v>113</v>
      </c>
      <c r="CQ5" s="72" t="s">
        <v>117</v>
      </c>
      <c r="CR5" s="72" t="s">
        <v>5</v>
      </c>
      <c r="CS5" s="72" t="s">
        <v>4</v>
      </c>
      <c r="CT5" s="72" t="s">
        <v>112</v>
      </c>
      <c r="CU5" s="72" t="s">
        <v>7</v>
      </c>
      <c r="CV5" s="72" t="s">
        <v>111</v>
      </c>
      <c r="CW5" s="72" t="s">
        <v>110</v>
      </c>
      <c r="CX5" s="72" t="s">
        <v>116</v>
      </c>
      <c r="CY5" s="72" t="s">
        <v>115</v>
      </c>
      <c r="CZ5" s="72" t="s">
        <v>82</v>
      </c>
      <c r="DA5" s="72" t="s">
        <v>81</v>
      </c>
      <c r="DB5" s="72" t="s">
        <v>80</v>
      </c>
      <c r="DC5" s="72" t="s">
        <v>79</v>
      </c>
      <c r="DD5" s="72" t="s">
        <v>114</v>
      </c>
      <c r="DE5" s="72" t="s">
        <v>113</v>
      </c>
      <c r="DF5" s="72" t="s">
        <v>112</v>
      </c>
      <c r="DG5" s="72" t="s">
        <v>7</v>
      </c>
      <c r="DH5" s="72" t="s">
        <v>111</v>
      </c>
      <c r="DI5" s="72" t="s">
        <v>110</v>
      </c>
      <c r="DJ5" s="54" t="s">
        <v>109</v>
      </c>
      <c r="DK5" s="54" t="s">
        <v>108</v>
      </c>
      <c r="DL5" s="53" t="s">
        <v>107</v>
      </c>
      <c r="DM5" s="53" t="s">
        <v>106</v>
      </c>
      <c r="DN5" s="53" t="s">
        <v>105</v>
      </c>
      <c r="DO5" s="53" t="s">
        <v>104</v>
      </c>
      <c r="DQ5" s="53" t="s">
        <v>272</v>
      </c>
      <c r="DR5" s="53" t="s">
        <v>273</v>
      </c>
      <c r="DS5" s="53" t="s">
        <v>274</v>
      </c>
      <c r="DT5" s="53" t="s">
        <v>275</v>
      </c>
      <c r="DU5" s="53" t="s">
        <v>276</v>
      </c>
      <c r="DV5" s="53" t="s">
        <v>277</v>
      </c>
      <c r="DW5" s="53" t="s">
        <v>278</v>
      </c>
      <c r="DX5" s="53" t="s">
        <v>279</v>
      </c>
      <c r="DY5" s="53" t="s">
        <v>280</v>
      </c>
    </row>
    <row r="6" spans="1:129" ht="18" customHeight="1" thickTop="1" x14ac:dyDescent="0.3">
      <c r="A6" s="69">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43">
        <v>-0.12842842068937088</v>
      </c>
      <c r="AX7" s="43">
        <v>-0.10482477605438706</v>
      </c>
      <c r="AY7" s="43">
        <v>-2.3603644634983809E-2</v>
      </c>
      <c r="AZ7" s="43">
        <v>-0.17686911894631771</v>
      </c>
      <c r="BA7" s="43">
        <v>-7.9987722432424038E-2</v>
      </c>
      <c r="BB7" s="43">
        <v>-0.15186979006052048</v>
      </c>
      <c r="BC7" s="43">
        <v>-8.8055892162159949E-2</v>
      </c>
      <c r="BD7" s="43">
        <v>-9.3055892162656473E-2</v>
      </c>
      <c r="BE7" s="43">
        <v>-9.3055892161675147E-2</v>
      </c>
      <c r="BF7" s="43">
        <v>-9.3055892161676659E-2</v>
      </c>
      <c r="BH7" s="43">
        <v>-0.28547152251618402</v>
      </c>
      <c r="BI7" s="43">
        <v>-0.27341214160103089</v>
      </c>
      <c r="BJ7" s="43">
        <v>-3.453798439000455E-3</v>
      </c>
      <c r="BK7" s="43">
        <v>-0.30904787103028886</v>
      </c>
      <c r="BL7" s="43">
        <v>-0.26189517400207918</v>
      </c>
      <c r="BM7" s="43">
        <v>-0.26662965446921383</v>
      </c>
      <c r="BN7" s="43">
        <v>-0.25051005786485148</v>
      </c>
      <c r="BO7" s="43">
        <v>-0.21582709683176549</v>
      </c>
      <c r="BP7" s="43">
        <v>-0.19856864361606646</v>
      </c>
      <c r="BQ7" s="43">
        <v>-0.19856864361604409</v>
      </c>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3">
        <v>-0.28079997662654099</v>
      </c>
      <c r="BI9" s="43">
        <v>-0.26874059571138775</v>
      </c>
      <c r="BJ9" s="43">
        <v>1.2177474506425701E-3</v>
      </c>
      <c r="BK9" s="43">
        <v>-0.30437632514064583</v>
      </c>
      <c r="BL9" s="43">
        <v>-0.25722362811243615</v>
      </c>
      <c r="BM9" s="43">
        <v>-0.2619581085795708</v>
      </c>
      <c r="BN9" s="43">
        <v>-0.24583851197520845</v>
      </c>
      <c r="BO9" s="43">
        <v>-0.21115555094212257</v>
      </c>
      <c r="BP9" s="43">
        <v>-0.19389709772642344</v>
      </c>
      <c r="BQ9" s="43">
        <v>-0.19389709772640107</v>
      </c>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3">
        <v>-0.28943091885543198</v>
      </c>
      <c r="BI13" s="43">
        <v>-0.2773715379402788</v>
      </c>
      <c r="BJ13" s="43">
        <v>-7.413194778248422E-3</v>
      </c>
      <c r="BK13" s="43">
        <v>-0.31300726736953677</v>
      </c>
      <c r="BL13" s="43">
        <v>-0.26585457034132709</v>
      </c>
      <c r="BM13" s="43">
        <v>-0.27058905080846185</v>
      </c>
      <c r="BN13" s="43">
        <v>-0.2544694542040995</v>
      </c>
      <c r="BO13" s="43">
        <v>-0.21978649317101351</v>
      </c>
      <c r="BP13" s="43">
        <v>-0.20252803995531443</v>
      </c>
      <c r="BQ13" s="43">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3">
        <v>-0.27711741540337653</v>
      </c>
      <c r="BI16" s="43">
        <v>-0.2650580344882234</v>
      </c>
      <c r="BJ16" s="43">
        <v>4.9003086738070301E-3</v>
      </c>
      <c r="BK16" s="43">
        <v>-0.30069376391748137</v>
      </c>
      <c r="BL16" s="43">
        <v>-0.25354106688927169</v>
      </c>
      <c r="BM16" s="43">
        <v>-0.25827554735640634</v>
      </c>
      <c r="BN16" s="43">
        <v>-0.24215595075204399</v>
      </c>
      <c r="BO16" s="43">
        <v>-0.207472989718958</v>
      </c>
      <c r="BP16" s="43">
        <v>-0.19021453650325898</v>
      </c>
      <c r="BQ16" s="43">
        <v>-0.19021453650323661</v>
      </c>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3">
        <v>-0.28436227072253578</v>
      </c>
      <c r="BI18" s="43">
        <v>-0.2723028898073826</v>
      </c>
      <c r="BJ18" s="43">
        <v>-2.344546645352219E-3</v>
      </c>
      <c r="BK18" s="43">
        <v>-0.30793861923664068</v>
      </c>
      <c r="BL18" s="43">
        <v>-0.260785922208431</v>
      </c>
      <c r="BM18" s="43">
        <v>-0.26552040267556554</v>
      </c>
      <c r="BN18" s="43">
        <v>-0.24940080607120318</v>
      </c>
      <c r="BO18" s="43">
        <v>-0.21471784503811731</v>
      </c>
      <c r="BP18" s="43">
        <v>-0.19745939182241823</v>
      </c>
      <c r="BQ18" s="43">
        <v>-0.19745939182239591</v>
      </c>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5">
        <f>O48-P48</f>
        <v>-1.612323470012722E-7</v>
      </c>
      <c r="R48" s="6">
        <v>0.12417659145486251</v>
      </c>
      <c r="S48" s="6">
        <v>0.18920261536690994</v>
      </c>
      <c r="T48" s="6">
        <v>0.16129667451367932</v>
      </c>
      <c r="U48" s="6">
        <v>0.21703354875766009</v>
      </c>
      <c r="V48" s="6"/>
      <c r="W48" s="6"/>
      <c r="X48" s="8"/>
      <c r="AA48" s="6">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63" t="s">
        <v>103</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5"/>
    </row>
    <row r="74" spans="1:129" x14ac:dyDescent="0.3">
      <c r="A74" s="166"/>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8"/>
    </row>
    <row r="75" spans="1:129" x14ac:dyDescent="0.3">
      <c r="A75" s="169" t="s">
        <v>102</v>
      </c>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1"/>
    </row>
    <row r="77" spans="1:129" ht="15.6" x14ac:dyDescent="0.3">
      <c r="A77" s="1" t="s">
        <v>267</v>
      </c>
    </row>
    <row r="78" spans="1:129" ht="15.6" x14ac:dyDescent="0.3">
      <c r="A78" s="1"/>
    </row>
  </sheetData>
  <mergeCells count="12">
    <mergeCell ref="A73:BG74"/>
    <mergeCell ref="A75:BG75"/>
    <mergeCell ref="A2:AK2"/>
    <mergeCell ref="A4:A5"/>
    <mergeCell ref="O4:Z4"/>
    <mergeCell ref="AW4:BG4"/>
    <mergeCell ref="BH4:BR4"/>
    <mergeCell ref="BS4:CC4"/>
    <mergeCell ref="CD4:CN4"/>
    <mergeCell ref="CO4:CY4"/>
    <mergeCell ref="B4:N4"/>
    <mergeCell ref="AA4:AK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A2" sqref="A2"/>
    </sheetView>
  </sheetViews>
  <sheetFormatPr baseColWidth="10" defaultRowHeight="13.2" x14ac:dyDescent="0.25"/>
  <cols>
    <col min="1" max="1" width="11.5546875" style="103"/>
    <col min="2" max="2" width="14.33203125" style="103" customWidth="1"/>
    <col min="3" max="3" width="8.88671875" style="103" customWidth="1"/>
    <col min="4" max="4" width="14.109375" style="103" customWidth="1"/>
    <col min="5" max="5" width="8.6640625" style="103" customWidth="1"/>
    <col min="6" max="6" width="14.109375" style="103" customWidth="1"/>
    <col min="7" max="7" width="9.88671875" style="103" customWidth="1"/>
    <col min="8" max="8" width="14.109375" style="103" customWidth="1"/>
    <col min="9" max="9" width="8.21875" style="103" customWidth="1"/>
    <col min="10" max="10" width="9.6640625" style="103" customWidth="1"/>
    <col min="11" max="11" width="8.21875" style="103" customWidth="1"/>
    <col min="12" max="13" width="11.5546875" style="103"/>
    <col min="14" max="14" width="17.44140625" style="103" customWidth="1"/>
    <col min="15" max="16384" width="11.5546875" style="103"/>
  </cols>
  <sheetData>
    <row r="1" spans="1:17" ht="15.6" x14ac:dyDescent="0.3">
      <c r="A1" s="29" t="s">
        <v>301</v>
      </c>
    </row>
    <row r="2" spans="1:17" ht="66" customHeight="1" x14ac:dyDescent="0.25">
      <c r="A2" s="98" t="s">
        <v>281</v>
      </c>
      <c r="B2" s="99" t="s">
        <v>282</v>
      </c>
      <c r="C2" s="99" t="s">
        <v>283</v>
      </c>
      <c r="D2" s="99" t="s">
        <v>282</v>
      </c>
      <c r="E2" s="99" t="s">
        <v>283</v>
      </c>
      <c r="F2" s="99" t="s">
        <v>282</v>
      </c>
      <c r="G2" s="99" t="s">
        <v>283</v>
      </c>
      <c r="H2" s="99" t="s">
        <v>282</v>
      </c>
      <c r="I2" s="99" t="s">
        <v>283</v>
      </c>
      <c r="J2" s="99" t="s">
        <v>282</v>
      </c>
      <c r="K2" s="99" t="s">
        <v>284</v>
      </c>
      <c r="L2" s="175" t="s">
        <v>285</v>
      </c>
      <c r="M2" s="99" t="s">
        <v>286</v>
      </c>
      <c r="N2" s="100" t="s">
        <v>287</v>
      </c>
      <c r="O2" s="101" t="s">
        <v>288</v>
      </c>
      <c r="P2" s="102" t="s">
        <v>289</v>
      </c>
      <c r="Q2" s="102" t="s">
        <v>290</v>
      </c>
    </row>
    <row r="3" spans="1:17" ht="48.75" customHeight="1" x14ac:dyDescent="0.25">
      <c r="A3" s="104"/>
      <c r="B3" s="175" t="s">
        <v>291</v>
      </c>
      <c r="C3" s="175"/>
      <c r="D3" s="175" t="s">
        <v>292</v>
      </c>
      <c r="E3" s="175"/>
      <c r="F3" s="175" t="s">
        <v>293</v>
      </c>
      <c r="G3" s="175"/>
      <c r="H3" s="175" t="s">
        <v>294</v>
      </c>
      <c r="I3" s="175"/>
      <c r="J3" s="175" t="s">
        <v>295</v>
      </c>
      <c r="K3" s="175"/>
      <c r="L3" s="175"/>
      <c r="M3" s="99"/>
      <c r="N3" s="100"/>
      <c r="O3" s="101"/>
      <c r="P3" s="102"/>
    </row>
    <row r="4" spans="1:17" ht="14.4" x14ac:dyDescent="0.3">
      <c r="A4" s="105">
        <v>1990</v>
      </c>
      <c r="B4" s="106">
        <v>3003.1566865</v>
      </c>
      <c r="C4" s="107">
        <v>0.92409074999999996</v>
      </c>
      <c r="D4" s="106"/>
      <c r="E4" s="106"/>
      <c r="F4" s="106"/>
      <c r="G4" s="106"/>
      <c r="H4" s="106"/>
      <c r="I4" s="106"/>
      <c r="J4" s="106"/>
      <c r="K4" s="106"/>
      <c r="L4" s="108">
        <f t="shared" ref="L4:L30" si="0">C4/B4</f>
        <v>3.0770647237756104E-4</v>
      </c>
      <c r="M4" s="109">
        <v>1058.6268</v>
      </c>
      <c r="N4" s="107">
        <v>69.982971167255371</v>
      </c>
      <c r="O4" s="110">
        <v>2.6674738153815269E-2</v>
      </c>
      <c r="P4" s="111">
        <f t="shared" ref="P4:P36" si="1">M4/N4*100</f>
        <v>1512.6919911273008</v>
      </c>
      <c r="Q4" s="112">
        <f t="shared" ref="Q4:Q36" si="2">B4/M4</f>
        <v>2.8368417335552056</v>
      </c>
    </row>
    <row r="5" spans="1:17" ht="14.4" x14ac:dyDescent="0.3">
      <c r="A5" s="105">
        <v>1991</v>
      </c>
      <c r="B5" s="106">
        <v>3081.8137790000001</v>
      </c>
      <c r="C5" s="107">
        <v>0.98161754000000001</v>
      </c>
      <c r="D5" s="106"/>
      <c r="E5" s="106"/>
      <c r="F5" s="106"/>
      <c r="G5" s="106"/>
      <c r="H5" s="106"/>
      <c r="I5" s="106"/>
      <c r="J5" s="106"/>
      <c r="K5" s="106"/>
      <c r="L5" s="108">
        <f t="shared" si="0"/>
        <v>3.1851942083227345E-4</v>
      </c>
      <c r="M5" s="109">
        <v>1097.1116999999999</v>
      </c>
      <c r="N5" s="107">
        <v>71.78744499769131</v>
      </c>
      <c r="O5" s="110">
        <v>2.578447014093399E-2</v>
      </c>
      <c r="P5" s="111">
        <f t="shared" si="1"/>
        <v>1528.2779600740537</v>
      </c>
      <c r="Q5" s="112">
        <f t="shared" si="2"/>
        <v>2.8090246225612217</v>
      </c>
    </row>
    <row r="6" spans="1:17" ht="14.4" x14ac:dyDescent="0.3">
      <c r="A6" s="105">
        <v>1992</v>
      </c>
      <c r="B6" s="106">
        <v>3139.3331464999997</v>
      </c>
      <c r="C6" s="107">
        <v>1.0693535999999999</v>
      </c>
      <c r="D6" s="106"/>
      <c r="E6" s="106"/>
      <c r="F6" s="106"/>
      <c r="G6" s="106"/>
      <c r="H6" s="106"/>
      <c r="I6" s="106"/>
      <c r="J6" s="106"/>
      <c r="K6" s="106"/>
      <c r="L6" s="108">
        <f t="shared" si="0"/>
        <v>3.4063081237243264E-4</v>
      </c>
      <c r="M6" s="109">
        <v>1136.8413</v>
      </c>
      <c r="N6" s="107">
        <v>73.24857328566813</v>
      </c>
      <c r="O6" s="110">
        <v>2.0353535190224648E-2</v>
      </c>
      <c r="P6" s="111">
        <f t="shared" si="1"/>
        <v>1552.0320041816231</v>
      </c>
      <c r="Q6" s="112">
        <f t="shared" si="2"/>
        <v>2.7614524089686041</v>
      </c>
    </row>
    <row r="7" spans="1:17" ht="14.4" x14ac:dyDescent="0.3">
      <c r="A7" s="105">
        <v>1993</v>
      </c>
      <c r="B7" s="106">
        <v>3203.2429744999999</v>
      </c>
      <c r="C7" s="107">
        <v>1.033147</v>
      </c>
      <c r="D7" s="106"/>
      <c r="E7" s="106"/>
      <c r="F7" s="106"/>
      <c r="G7" s="106"/>
      <c r="H7" s="106"/>
      <c r="I7" s="106"/>
      <c r="J7" s="106"/>
      <c r="K7" s="106"/>
      <c r="L7" s="108">
        <f t="shared" si="0"/>
        <v>3.2253157447766377E-4</v>
      </c>
      <c r="M7" s="109">
        <v>1148.4043999999999</v>
      </c>
      <c r="N7" s="107">
        <v>74.435249320671829</v>
      </c>
      <c r="O7" s="110">
        <v>1.6200670972466469E-2</v>
      </c>
      <c r="P7" s="111">
        <f t="shared" si="1"/>
        <v>1542.8233403942802</v>
      </c>
      <c r="Q7" s="112">
        <f t="shared" si="2"/>
        <v>2.7892987648775991</v>
      </c>
    </row>
    <row r="8" spans="1:17" ht="14.4" x14ac:dyDescent="0.3">
      <c r="A8" s="105">
        <v>1994</v>
      </c>
      <c r="B8" s="106">
        <v>3259.888027</v>
      </c>
      <c r="C8" s="107">
        <v>1.1891023000000001</v>
      </c>
      <c r="D8" s="106"/>
      <c r="E8" s="106"/>
      <c r="F8" s="106"/>
      <c r="G8" s="106"/>
      <c r="H8" s="106"/>
      <c r="I8" s="106"/>
      <c r="J8" s="106"/>
      <c r="K8" s="106"/>
      <c r="L8" s="108">
        <f t="shared" si="0"/>
        <v>3.6476783562848432E-4</v>
      </c>
      <c r="M8" s="109">
        <v>1186.3446000000001</v>
      </c>
      <c r="N8" s="107">
        <v>75.11568453317048</v>
      </c>
      <c r="O8" s="110">
        <v>9.1413035988807678E-3</v>
      </c>
      <c r="P8" s="111">
        <f t="shared" si="1"/>
        <v>1579.3567047586712</v>
      </c>
      <c r="Q8" s="112">
        <f t="shared" si="2"/>
        <v>2.7478424287513086</v>
      </c>
    </row>
    <row r="9" spans="1:17" ht="14.4" x14ac:dyDescent="0.3">
      <c r="A9" s="105">
        <v>1995</v>
      </c>
      <c r="B9" s="106">
        <v>3354.3767680000001</v>
      </c>
      <c r="C9" s="107">
        <v>1.2295318</v>
      </c>
      <c r="D9" s="106"/>
      <c r="E9" s="106"/>
      <c r="F9" s="106"/>
      <c r="G9" s="106"/>
      <c r="H9" s="106"/>
      <c r="I9" s="106"/>
      <c r="J9" s="106"/>
      <c r="K9" s="106"/>
      <c r="L9" s="108">
        <f t="shared" si="0"/>
        <v>3.6654552694540958E-4</v>
      </c>
      <c r="M9" s="109">
        <v>1224.9671000000001</v>
      </c>
      <c r="N9" s="107">
        <v>75.973983762095912</v>
      </c>
      <c r="O9" s="110">
        <v>1.1426365002989769E-2</v>
      </c>
      <c r="P9" s="111">
        <f t="shared" si="1"/>
        <v>1612.3507539578923</v>
      </c>
      <c r="Q9" s="112">
        <f t="shared" si="2"/>
        <v>2.7383402933842058</v>
      </c>
    </row>
    <row r="10" spans="1:17" ht="14.4" x14ac:dyDescent="0.3">
      <c r="A10" s="105">
        <v>1996</v>
      </c>
      <c r="B10" s="106">
        <v>3516.7978144999997</v>
      </c>
      <c r="C10" s="107">
        <v>1.3596927999999999</v>
      </c>
      <c r="D10" s="106"/>
      <c r="E10" s="106"/>
      <c r="F10" s="106"/>
      <c r="G10" s="106"/>
      <c r="H10" s="106"/>
      <c r="I10" s="106"/>
      <c r="J10" s="106"/>
      <c r="K10" s="106"/>
      <c r="L10" s="108">
        <f t="shared" si="0"/>
        <v>3.8662808376241955E-4</v>
      </c>
      <c r="M10" s="109">
        <v>1258.9501</v>
      </c>
      <c r="N10" s="107">
        <v>77.008148159284346</v>
      </c>
      <c r="O10" s="110">
        <v>1.3612085953354836E-2</v>
      </c>
      <c r="P10" s="111">
        <f t="shared" si="1"/>
        <v>1634.82713205358</v>
      </c>
      <c r="Q10" s="112">
        <f t="shared" si="2"/>
        <v>2.7934370190685076</v>
      </c>
    </row>
    <row r="11" spans="1:17" ht="14.4" x14ac:dyDescent="0.3">
      <c r="A11" s="105">
        <v>1997</v>
      </c>
      <c r="B11" s="106">
        <v>3681.5452434999997</v>
      </c>
      <c r="C11" s="107">
        <v>1.4359999999999999</v>
      </c>
      <c r="D11" s="106"/>
      <c r="E11" s="106"/>
      <c r="F11" s="106"/>
      <c r="G11" s="106"/>
      <c r="H11" s="106"/>
      <c r="I11" s="106"/>
      <c r="J11" s="106"/>
      <c r="K11" s="106"/>
      <c r="L11" s="108">
        <f t="shared" si="0"/>
        <v>3.9005360657602906E-4</v>
      </c>
      <c r="M11" s="109">
        <v>1299.7386999999999</v>
      </c>
      <c r="N11" s="107">
        <v>77.691268886304769</v>
      </c>
      <c r="O11" s="110">
        <v>8.8707590475678444E-3</v>
      </c>
      <c r="P11" s="111">
        <f t="shared" si="1"/>
        <v>1672.9533686752732</v>
      </c>
      <c r="Q11" s="112">
        <f t="shared" si="2"/>
        <v>2.8325272175861196</v>
      </c>
    </row>
    <row r="12" spans="1:17" ht="14.4" x14ac:dyDescent="0.3">
      <c r="A12" s="105">
        <v>1998</v>
      </c>
      <c r="B12" s="106">
        <v>3899.0256054999995</v>
      </c>
      <c r="C12" s="107">
        <v>1.5880000000000001</v>
      </c>
      <c r="D12" s="106"/>
      <c r="E12" s="106"/>
      <c r="F12" s="106"/>
      <c r="G12" s="106"/>
      <c r="H12" s="106"/>
      <c r="I12" s="106"/>
      <c r="J12" s="106"/>
      <c r="K12" s="106"/>
      <c r="L12" s="108">
        <f t="shared" si="0"/>
        <v>4.0728124425752768E-4</v>
      </c>
      <c r="M12" s="109">
        <v>1358.7756000000002</v>
      </c>
      <c r="N12" s="107">
        <v>78.448081958988055</v>
      </c>
      <c r="O12" s="110">
        <v>9.7412886098027229E-3</v>
      </c>
      <c r="P12" s="111">
        <f t="shared" si="1"/>
        <v>1732.069881211826</v>
      </c>
      <c r="Q12" s="112">
        <f t="shared" si="2"/>
        <v>2.8695139988530842</v>
      </c>
    </row>
    <row r="13" spans="1:17" ht="14.4" x14ac:dyDescent="0.3">
      <c r="A13" s="105">
        <v>1999</v>
      </c>
      <c r="B13" s="106">
        <v>4300.9688834999997</v>
      </c>
      <c r="C13" s="107">
        <v>1.7869999999999999</v>
      </c>
      <c r="D13" s="106"/>
      <c r="E13" s="106"/>
      <c r="F13" s="106"/>
      <c r="G13" s="106"/>
      <c r="H13" s="106"/>
      <c r="I13" s="106"/>
      <c r="J13" s="106"/>
      <c r="K13" s="106"/>
      <c r="L13" s="108">
        <f t="shared" si="0"/>
        <v>4.1548777691825399E-4</v>
      </c>
      <c r="M13" s="109">
        <v>1408.1594</v>
      </c>
      <c r="N13" s="107">
        <v>78.618965137177611</v>
      </c>
      <c r="O13" s="110">
        <v>2.1782964468002319E-3</v>
      </c>
      <c r="P13" s="111">
        <f t="shared" si="1"/>
        <v>1791.1192261854189</v>
      </c>
      <c r="Q13" s="112">
        <f t="shared" si="2"/>
        <v>3.0543196199947249</v>
      </c>
    </row>
    <row r="14" spans="1:17" ht="14.4" x14ac:dyDescent="0.3">
      <c r="A14" s="105">
        <v>2000</v>
      </c>
      <c r="B14" s="106">
        <v>4748.4921415000008</v>
      </c>
      <c r="C14" s="107">
        <v>2.238</v>
      </c>
      <c r="D14" s="106"/>
      <c r="E14" s="106"/>
      <c r="F14" s="106"/>
      <c r="G14" s="106"/>
      <c r="H14" s="106"/>
      <c r="I14" s="106"/>
      <c r="J14" s="106"/>
      <c r="K14" s="106"/>
      <c r="L14" s="108">
        <f t="shared" si="0"/>
        <v>4.7130750842793611E-4</v>
      </c>
      <c r="M14" s="109">
        <v>1485.3031000000001</v>
      </c>
      <c r="N14" s="107">
        <v>79.825508079780803</v>
      </c>
      <c r="O14" s="110">
        <v>1.5346716158092022E-2</v>
      </c>
      <c r="P14" s="111">
        <f t="shared" si="1"/>
        <v>1860.6873112733952</v>
      </c>
      <c r="Q14" s="112">
        <f t="shared" si="2"/>
        <v>3.1969852762712208</v>
      </c>
    </row>
    <row r="15" spans="1:17" ht="14.4" x14ac:dyDescent="0.3">
      <c r="A15" s="105">
        <v>2001</v>
      </c>
      <c r="B15" s="106">
        <v>5022.4000735</v>
      </c>
      <c r="C15" s="107">
        <v>2.395</v>
      </c>
      <c r="D15" s="106"/>
      <c r="E15" s="106"/>
      <c r="F15" s="106"/>
      <c r="G15" s="106"/>
      <c r="H15" s="106"/>
      <c r="I15" s="106"/>
      <c r="J15" s="106"/>
      <c r="K15" s="106"/>
      <c r="L15" s="108">
        <f t="shared" si="0"/>
        <v>4.7686364386558661E-4</v>
      </c>
      <c r="M15" s="109">
        <v>1544.6293000000001</v>
      </c>
      <c r="N15" s="107">
        <v>81.414421064099173</v>
      </c>
      <c r="O15" s="110">
        <v>1.9904827699065208E-2</v>
      </c>
      <c r="P15" s="111">
        <f t="shared" si="1"/>
        <v>1897.2428714857322</v>
      </c>
      <c r="Q15" s="112">
        <f t="shared" si="2"/>
        <v>3.2515245395772303</v>
      </c>
    </row>
    <row r="16" spans="1:17" ht="14.4" x14ac:dyDescent="0.3">
      <c r="A16" s="105">
        <v>2002</v>
      </c>
      <c r="B16" s="106">
        <v>5309.5950709999997</v>
      </c>
      <c r="C16" s="107">
        <v>2.2690000000000001</v>
      </c>
      <c r="D16" s="106"/>
      <c r="E16" s="106"/>
      <c r="F16" s="106"/>
      <c r="G16" s="106"/>
      <c r="H16" s="106"/>
      <c r="I16" s="106"/>
      <c r="J16" s="106"/>
      <c r="K16" s="106"/>
      <c r="L16" s="108">
        <f t="shared" si="0"/>
        <v>4.2733955596592428E-4</v>
      </c>
      <c r="M16" s="109">
        <v>1594.2586999999999</v>
      </c>
      <c r="N16" s="107">
        <v>83.104034404520661</v>
      </c>
      <c r="O16" s="110">
        <v>2.0753243938088417E-2</v>
      </c>
      <c r="P16" s="111">
        <f t="shared" si="1"/>
        <v>1918.3890546633631</v>
      </c>
      <c r="Q16" s="112">
        <f t="shared" si="2"/>
        <v>3.330447606150746</v>
      </c>
    </row>
    <row r="17" spans="1:17" ht="14.4" x14ac:dyDescent="0.3">
      <c r="A17" s="105">
        <v>2003</v>
      </c>
      <c r="B17" s="106">
        <v>5845.3086889999995</v>
      </c>
      <c r="C17" s="107">
        <v>2.1560000000000001</v>
      </c>
      <c r="D17" s="106"/>
      <c r="E17" s="106"/>
      <c r="F17" s="106"/>
      <c r="G17" s="106"/>
      <c r="H17" s="106"/>
      <c r="I17" s="106"/>
      <c r="J17" s="106"/>
      <c r="K17" s="106"/>
      <c r="L17" s="108">
        <f t="shared" si="0"/>
        <v>3.6884279594288509E-4</v>
      </c>
      <c r="M17" s="109">
        <v>1637.4383</v>
      </c>
      <c r="N17" s="107">
        <v>84.660865809755961</v>
      </c>
      <c r="O17" s="110">
        <v>1.8733523786067963E-2</v>
      </c>
      <c r="P17" s="111">
        <f t="shared" si="1"/>
        <v>1934.1147581452074</v>
      </c>
      <c r="Q17" s="112">
        <f t="shared" si="2"/>
        <v>3.569788668678386</v>
      </c>
    </row>
    <row r="18" spans="1:17" ht="14.4" x14ac:dyDescent="0.3">
      <c r="A18" s="105">
        <v>2004</v>
      </c>
      <c r="B18" s="106">
        <v>6620.4577984999996</v>
      </c>
      <c r="C18" s="107">
        <v>2.44</v>
      </c>
      <c r="D18" s="106"/>
      <c r="E18" s="106"/>
      <c r="F18" s="106"/>
      <c r="G18" s="106"/>
      <c r="H18" s="106"/>
      <c r="I18" s="106"/>
      <c r="J18" s="106"/>
      <c r="K18" s="106"/>
      <c r="L18" s="108">
        <f t="shared" si="0"/>
        <v>3.6855457345454751E-4</v>
      </c>
      <c r="M18" s="109">
        <v>1710.7596000000001</v>
      </c>
      <c r="N18" s="107">
        <v>86.045135555093964</v>
      </c>
      <c r="O18" s="110">
        <v>1.6350762918591499E-2</v>
      </c>
      <c r="P18" s="111">
        <f t="shared" si="1"/>
        <v>1988.2118715527104</v>
      </c>
      <c r="Q18" s="112">
        <f t="shared" si="2"/>
        <v>3.8698937001434914</v>
      </c>
    </row>
    <row r="19" spans="1:17" ht="14.4" x14ac:dyDescent="0.3">
      <c r="A19" s="105">
        <v>2005</v>
      </c>
      <c r="B19" s="106">
        <v>7533.6191465000002</v>
      </c>
      <c r="C19" s="107">
        <v>2.8</v>
      </c>
      <c r="D19" s="106"/>
      <c r="E19" s="106"/>
      <c r="F19" s="106"/>
      <c r="G19" s="106"/>
      <c r="H19" s="106"/>
      <c r="I19" s="106"/>
      <c r="J19" s="106"/>
      <c r="K19" s="106"/>
      <c r="L19" s="108">
        <f t="shared" si="0"/>
        <v>3.7166731494527906E-4</v>
      </c>
      <c r="M19" s="109">
        <v>1771.9784</v>
      </c>
      <c r="N19" s="107">
        <v>87.717720040337895</v>
      </c>
      <c r="O19" s="110">
        <v>1.9438454881310463E-2</v>
      </c>
      <c r="P19" s="111">
        <f t="shared" si="1"/>
        <v>2020.0917205612932</v>
      </c>
      <c r="Q19" s="112">
        <f t="shared" si="2"/>
        <v>4.2515298981635441</v>
      </c>
    </row>
    <row r="20" spans="1:17" ht="14.4" x14ac:dyDescent="0.3">
      <c r="A20" s="105">
        <v>2006</v>
      </c>
      <c r="B20" s="106">
        <v>8456.7448824999992</v>
      </c>
      <c r="C20" s="107">
        <v>3.319</v>
      </c>
      <c r="D20" s="106"/>
      <c r="E20" s="106"/>
      <c r="F20" s="106"/>
      <c r="G20" s="106"/>
      <c r="H20" s="106"/>
      <c r="I20" s="106"/>
      <c r="J20" s="106"/>
      <c r="K20" s="106"/>
      <c r="L20" s="108">
        <f t="shared" si="0"/>
        <v>3.9246779300013964E-4</v>
      </c>
      <c r="M20" s="109">
        <v>1853.2666000000002</v>
      </c>
      <c r="N20" s="107">
        <v>89.622512805660051</v>
      </c>
      <c r="O20" s="110">
        <v>2.1715028211474419E-2</v>
      </c>
      <c r="P20" s="111">
        <f t="shared" si="1"/>
        <v>2067.8583337857026</v>
      </c>
      <c r="Q20" s="112">
        <f t="shared" si="2"/>
        <v>4.5631561495253834</v>
      </c>
    </row>
    <row r="21" spans="1:17" ht="14.4" x14ac:dyDescent="0.3">
      <c r="A21" s="105">
        <v>2007</v>
      </c>
      <c r="B21" s="106">
        <v>9182.3621349999994</v>
      </c>
      <c r="C21" s="107">
        <v>4.0314449000000003</v>
      </c>
      <c r="D21" s="106"/>
      <c r="E21" s="106"/>
      <c r="F21" s="106"/>
      <c r="G21" s="106"/>
      <c r="H21" s="106"/>
      <c r="I21" s="106"/>
      <c r="J21" s="106"/>
      <c r="K21" s="106"/>
      <c r="L21" s="108">
        <f t="shared" si="0"/>
        <v>4.3904224650795701E-4</v>
      </c>
      <c r="M21" s="109">
        <v>1945.6696000000002</v>
      </c>
      <c r="N21" s="107">
        <v>91.914070109599948</v>
      </c>
      <c r="O21" s="110">
        <v>2.5568991899490356E-2</v>
      </c>
      <c r="P21" s="111">
        <f t="shared" si="1"/>
        <v>2116.8354286562976</v>
      </c>
      <c r="Q21" s="112">
        <f t="shared" si="2"/>
        <v>4.7193840799075026</v>
      </c>
    </row>
    <row r="22" spans="1:17" ht="14.4" x14ac:dyDescent="0.3">
      <c r="A22" s="105">
        <v>2008</v>
      </c>
      <c r="B22" s="106">
        <v>9161.5942565000005</v>
      </c>
      <c r="C22" s="107">
        <v>3.8102523000000001</v>
      </c>
      <c r="D22" s="106"/>
      <c r="E22" s="106"/>
      <c r="F22" s="106"/>
      <c r="G22" s="106"/>
      <c r="H22" s="106"/>
      <c r="I22" s="106"/>
      <c r="J22" s="106"/>
      <c r="K22" s="106"/>
      <c r="L22" s="108">
        <f t="shared" si="0"/>
        <v>4.1589402382633228E-4</v>
      </c>
      <c r="M22" s="109">
        <v>1995.8498</v>
      </c>
      <c r="N22" s="107">
        <v>94.102554320105895</v>
      </c>
      <c r="O22" s="110">
        <v>2.3810110986232758E-2</v>
      </c>
      <c r="P22" s="111">
        <f t="shared" si="1"/>
        <v>2120.9305256590342</v>
      </c>
      <c r="Q22" s="112">
        <f t="shared" si="2"/>
        <v>4.5903225064832034</v>
      </c>
    </row>
    <row r="23" spans="1:17" ht="14.4" x14ac:dyDescent="0.3">
      <c r="A23" s="105">
        <v>2009</v>
      </c>
      <c r="B23" s="106">
        <v>8941.1321960000005</v>
      </c>
      <c r="C23" s="107">
        <v>3.2663141000000002</v>
      </c>
      <c r="D23" s="106"/>
      <c r="E23" s="106"/>
      <c r="F23" s="106"/>
      <c r="G23" s="106"/>
      <c r="H23" s="106"/>
      <c r="I23" s="106"/>
      <c r="J23" s="106"/>
      <c r="K23" s="106"/>
      <c r="L23" s="108">
        <f t="shared" si="0"/>
        <v>3.6531325433945079E-4</v>
      </c>
      <c r="M23" s="109">
        <v>1939.016885</v>
      </c>
      <c r="N23" s="107">
        <v>94.195098872716486</v>
      </c>
      <c r="O23" s="110">
        <v>9.8344357684254646E-4</v>
      </c>
      <c r="P23" s="111">
        <f t="shared" si="1"/>
        <v>2058.5114387109948</v>
      </c>
      <c r="Q23" s="112">
        <f t="shared" si="2"/>
        <v>4.6111677856791848</v>
      </c>
    </row>
    <row r="24" spans="1:17" ht="14.4" x14ac:dyDescent="0.3">
      <c r="A24" s="105">
        <v>2010</v>
      </c>
      <c r="B24" s="106">
        <v>9388.7826984999992</v>
      </c>
      <c r="C24" s="107">
        <v>3.6168813000000002</v>
      </c>
      <c r="D24" s="106"/>
      <c r="E24" s="106"/>
      <c r="F24" s="106"/>
      <c r="G24" s="106"/>
      <c r="H24" s="106"/>
      <c r="I24" s="106"/>
      <c r="J24" s="106"/>
      <c r="K24" s="106"/>
      <c r="L24" s="108">
        <f t="shared" si="0"/>
        <v>3.8523431803122378E-4</v>
      </c>
      <c r="M24" s="109">
        <v>1998.481041</v>
      </c>
      <c r="N24" s="107">
        <v>95.211448700577762</v>
      </c>
      <c r="O24" s="110">
        <v>1.0789837688207626E-2</v>
      </c>
      <c r="P24" s="111">
        <f t="shared" si="1"/>
        <v>2098.9923672780678</v>
      </c>
      <c r="Q24" s="112">
        <f t="shared" si="2"/>
        <v>4.6979593530704902</v>
      </c>
    </row>
    <row r="25" spans="1:17" ht="14.4" x14ac:dyDescent="0.3">
      <c r="A25" s="105">
        <v>2011</v>
      </c>
      <c r="B25" s="106">
        <v>9900.2092455000002</v>
      </c>
      <c r="C25" s="107">
        <v>3.8725955999999999</v>
      </c>
      <c r="D25" s="106"/>
      <c r="E25" s="106"/>
      <c r="F25" s="106"/>
      <c r="G25" s="106"/>
      <c r="H25" s="106"/>
      <c r="I25" s="106"/>
      <c r="J25" s="106"/>
      <c r="K25" s="106"/>
      <c r="L25" s="108">
        <f t="shared" si="0"/>
        <v>3.9116300514155632E-4</v>
      </c>
      <c r="M25" s="109">
        <v>2059.2840019999999</v>
      </c>
      <c r="N25" s="107">
        <v>96.109947207249888</v>
      </c>
      <c r="O25" s="110">
        <v>9.4368746504187584E-3</v>
      </c>
      <c r="P25" s="111">
        <f t="shared" si="1"/>
        <v>2142.6335793936023</v>
      </c>
      <c r="Q25" s="112">
        <f t="shared" si="2"/>
        <v>4.8075978038409488</v>
      </c>
    </row>
    <row r="26" spans="1:17" ht="14.4" x14ac:dyDescent="0.3">
      <c r="A26" s="105">
        <v>2012</v>
      </c>
      <c r="B26" s="106">
        <v>10121.687352500001</v>
      </c>
      <c r="C26" s="107">
        <v>4.0470136999999999</v>
      </c>
      <c r="D26" s="106"/>
      <c r="E26" s="106"/>
      <c r="F26" s="106"/>
      <c r="G26" s="106"/>
      <c r="H26" s="106"/>
      <c r="I26" s="106"/>
      <c r="J26" s="106"/>
      <c r="K26" s="106"/>
      <c r="L26" s="108">
        <f t="shared" si="0"/>
        <v>3.9983587311659158E-4</v>
      </c>
      <c r="M26" s="109">
        <v>2086.9290000000001</v>
      </c>
      <c r="N26" s="107">
        <v>97.227096566054897</v>
      </c>
      <c r="O26" s="110">
        <v>1.162366010248661E-2</v>
      </c>
      <c r="P26" s="111">
        <f t="shared" si="1"/>
        <v>2146.4479283120072</v>
      </c>
      <c r="Q26" s="112">
        <f t="shared" si="2"/>
        <v>4.8500391496308692</v>
      </c>
    </row>
    <row r="27" spans="1:17" ht="14.4" x14ac:dyDescent="0.3">
      <c r="A27" s="105">
        <v>2013</v>
      </c>
      <c r="B27" s="106">
        <v>10242.903533500001</v>
      </c>
      <c r="C27" s="107">
        <v>3.6342300000000001</v>
      </c>
      <c r="D27" s="106"/>
      <c r="E27" s="106"/>
      <c r="F27" s="106"/>
      <c r="G27" s="106"/>
      <c r="H27" s="106"/>
      <c r="I27" s="106"/>
      <c r="J27" s="106"/>
      <c r="K27" s="106"/>
      <c r="L27" s="108">
        <f t="shared" si="0"/>
        <v>3.548046692145487E-4</v>
      </c>
      <c r="M27" s="109">
        <v>2115.256586</v>
      </c>
      <c r="N27" s="107">
        <v>97.975357063882498</v>
      </c>
      <c r="O27" s="110">
        <v>7.6960078440606594E-3</v>
      </c>
      <c r="P27" s="111">
        <f t="shared" si="1"/>
        <v>2158.9679786732468</v>
      </c>
      <c r="Q27" s="112">
        <f t="shared" si="2"/>
        <v>4.8423929282591542</v>
      </c>
    </row>
    <row r="28" spans="1:17" ht="14.4" x14ac:dyDescent="0.3">
      <c r="A28" s="105">
        <v>2014</v>
      </c>
      <c r="B28" s="106">
        <v>10304.156158</v>
      </c>
      <c r="C28" s="107">
        <v>3.8024092999999999</v>
      </c>
      <c r="D28" s="106"/>
      <c r="E28" s="106"/>
      <c r="F28" s="106"/>
      <c r="G28" s="106"/>
      <c r="H28" s="106"/>
      <c r="I28" s="106"/>
      <c r="J28" s="106"/>
      <c r="K28" s="106"/>
      <c r="L28" s="108">
        <f t="shared" si="0"/>
        <v>3.690170492076504E-4</v>
      </c>
      <c r="M28" s="109">
        <v>2147.6085250000001</v>
      </c>
      <c r="N28" s="107">
        <v>98.538925189793574</v>
      </c>
      <c r="O28" s="110">
        <v>5.7521415874361992E-3</v>
      </c>
      <c r="P28" s="111">
        <f t="shared" si="1"/>
        <v>2179.4519484189018</v>
      </c>
      <c r="Q28" s="112">
        <f t="shared" si="2"/>
        <v>4.7979676174921124</v>
      </c>
    </row>
    <row r="29" spans="1:17" ht="14.4" x14ac:dyDescent="0.3">
      <c r="A29" s="105">
        <v>2015</v>
      </c>
      <c r="B29" s="106">
        <v>10428.720047499999</v>
      </c>
      <c r="C29" s="107">
        <v>3.8929603000000004</v>
      </c>
      <c r="D29" s="106"/>
      <c r="E29" s="106"/>
      <c r="F29" s="106"/>
      <c r="G29" s="106"/>
      <c r="H29" s="106"/>
      <c r="I29" s="106"/>
      <c r="J29" s="106"/>
      <c r="K29" s="106"/>
      <c r="L29" s="108">
        <f t="shared" si="0"/>
        <v>3.7329224317736204E-4</v>
      </c>
      <c r="M29" s="109">
        <v>2194.2430060000002</v>
      </c>
      <c r="N29" s="107">
        <v>99.617904673266452</v>
      </c>
      <c r="O29" s="110">
        <v>1.094977930188179E-2</v>
      </c>
      <c r="P29" s="111">
        <f t="shared" si="1"/>
        <v>2202.659264112036</v>
      </c>
      <c r="Q29" s="112">
        <f t="shared" si="2"/>
        <v>4.7527644016562487</v>
      </c>
    </row>
    <row r="30" spans="1:17" ht="14.4" x14ac:dyDescent="0.3">
      <c r="A30" s="105">
        <v>2016</v>
      </c>
      <c r="B30" s="106">
        <v>10782.676547999999</v>
      </c>
      <c r="C30" s="107">
        <v>4.0464500000000001</v>
      </c>
      <c r="D30" s="106"/>
      <c r="E30" s="107"/>
      <c r="F30" s="106"/>
      <c r="G30" s="107"/>
      <c r="H30" s="106"/>
      <c r="I30" s="107"/>
      <c r="J30" s="106"/>
      <c r="K30" s="107"/>
      <c r="L30" s="108">
        <f t="shared" si="0"/>
        <v>3.7527324333498131E-4</v>
      </c>
      <c r="M30" s="109">
        <v>2228.8579</v>
      </c>
      <c r="N30" s="107">
        <v>100</v>
      </c>
      <c r="O30" s="110">
        <v>3.8356089498847723E-3</v>
      </c>
      <c r="P30" s="111">
        <f t="shared" si="1"/>
        <v>2228.8579</v>
      </c>
      <c r="Q30" s="112">
        <f t="shared" si="2"/>
        <v>4.8377586332444071</v>
      </c>
    </row>
    <row r="31" spans="1:17" ht="14.4" x14ac:dyDescent="0.3">
      <c r="A31" s="105">
        <v>2017</v>
      </c>
      <c r="B31" s="106">
        <f t="shared" ref="B31:B36" si="3">B30*(1+$B$40)</f>
        <v>11349.77510479097</v>
      </c>
      <c r="C31" s="113">
        <f>B31*$L31</f>
        <v>4.2592669146975348</v>
      </c>
      <c r="D31" s="106">
        <f>B30*(1+B$41)</f>
        <v>11326.049266474261</v>
      </c>
      <c r="E31" s="113">
        <f>C31</f>
        <v>4.2592669146975348</v>
      </c>
      <c r="F31" s="106">
        <f>B30*(1+$B$42)</f>
        <v>11515.376238682362</v>
      </c>
      <c r="G31" s="113">
        <f>C31</f>
        <v>4.2592669146975348</v>
      </c>
      <c r="H31" s="106">
        <f>B30*(1+$B$39)</f>
        <v>11139.949099944621</v>
      </c>
      <c r="I31" s="113">
        <f>C31</f>
        <v>4.2592669146975348</v>
      </c>
      <c r="J31" s="106">
        <f>B31</f>
        <v>11349.77510479097</v>
      </c>
      <c r="K31" s="113">
        <f>C31</f>
        <v>4.2592669146975348</v>
      </c>
      <c r="L31" s="114">
        <f>L30</f>
        <v>3.7527324333498131E-4</v>
      </c>
      <c r="M31" s="115">
        <f>2291.7</f>
        <v>2291.6999999999998</v>
      </c>
      <c r="N31" s="107">
        <f>N30*(1+O31)</f>
        <v>100.69999999999999</v>
      </c>
      <c r="O31" s="110">
        <v>7.0000000000000001E-3</v>
      </c>
      <c r="P31" s="111">
        <f t="shared" si="1"/>
        <v>2275.769612711023</v>
      </c>
      <c r="Q31" s="112">
        <f t="shared" si="2"/>
        <v>4.9525570994418864</v>
      </c>
    </row>
    <row r="32" spans="1:17" ht="14.4" x14ac:dyDescent="0.3">
      <c r="A32" s="103">
        <f>A31+1</f>
        <v>2018</v>
      </c>
      <c r="B32" s="106">
        <f t="shared" si="3"/>
        <v>11946.699352047825</v>
      </c>
      <c r="C32" s="113">
        <f t="shared" ref="C32:C36" si="4">B32*$L32</f>
        <v>4.483276612990907</v>
      </c>
      <c r="D32" s="106">
        <f t="shared" ref="D32:D36" si="5">D31*(1+B$41)</f>
        <v>11896.804231820881</v>
      </c>
      <c r="E32" s="113">
        <f t="shared" ref="E32:E36" si="6">D32*$L32</f>
        <v>4.464552309396753</v>
      </c>
      <c r="F32" s="106">
        <f t="shared" ref="F32:F36" si="7">F31*(1+$B$42)</f>
        <v>12297.864016240575</v>
      </c>
      <c r="G32" s="113">
        <f t="shared" ref="G32:G36" si="8">F32*$L32</f>
        <v>4.6150593154671604</v>
      </c>
      <c r="H32" s="106">
        <f t="shared" ref="H32:H36" si="9">H31*(1+$B$39)</f>
        <v>11509.059498995646</v>
      </c>
      <c r="I32" s="113">
        <f t="shared" ref="I32:I36" si="10">H32*$L32</f>
        <v>4.3190420859233711</v>
      </c>
      <c r="J32" s="106">
        <f t="shared" ref="J32:J36" si="11">J31*(1+$B$40)</f>
        <v>11946.699352047825</v>
      </c>
      <c r="K32" s="113">
        <v>1</v>
      </c>
      <c r="L32" s="114">
        <f t="shared" ref="L32:L36" si="12">L31</f>
        <v>3.7527324333498131E-4</v>
      </c>
      <c r="M32" s="115">
        <f t="shared" ref="M32:M36" si="13">2291.7</f>
        <v>2291.6999999999998</v>
      </c>
      <c r="N32" s="107">
        <f t="shared" ref="N32:N36" si="14">N31*(1+O32)</f>
        <v>101.40489999999998</v>
      </c>
      <c r="O32" s="110">
        <v>7.0000000000000001E-3</v>
      </c>
      <c r="P32" s="111">
        <f t="shared" si="1"/>
        <v>2259.9499629702314</v>
      </c>
      <c r="Q32" s="112">
        <f t="shared" si="2"/>
        <v>5.2130293459212922</v>
      </c>
    </row>
    <row r="33" spans="1:17" ht="14.4" x14ac:dyDescent="0.3">
      <c r="A33" s="103">
        <f t="shared" ref="A33:A36" si="15">A32+1</f>
        <v>2019</v>
      </c>
      <c r="B33" s="106">
        <f t="shared" si="3"/>
        <v>12575.017926828645</v>
      </c>
      <c r="C33" s="113">
        <f t="shared" si="4"/>
        <v>4.7190677623965183</v>
      </c>
      <c r="D33" s="106">
        <f t="shared" si="5"/>
        <v>12496.321320905747</v>
      </c>
      <c r="E33" s="113">
        <f t="shared" si="6"/>
        <v>4.689535031852377</v>
      </c>
      <c r="F33" s="106">
        <f t="shared" si="7"/>
        <v>13133.523058839284</v>
      </c>
      <c r="G33" s="113">
        <f t="shared" si="8"/>
        <v>4.928659794705383</v>
      </c>
      <c r="H33" s="106">
        <f t="shared" si="9"/>
        <v>11890.399979662419</v>
      </c>
      <c r="I33" s="113">
        <f t="shared" si="10"/>
        <v>4.4621489649181116</v>
      </c>
      <c r="J33" s="106">
        <f t="shared" si="11"/>
        <v>12575.017926828645</v>
      </c>
      <c r="K33" s="113">
        <f t="shared" ref="K33:K36" si="16">(K32/J32)*J33</f>
        <v>1.0525934868088163</v>
      </c>
      <c r="L33" s="114">
        <f t="shared" si="12"/>
        <v>3.7527324333498131E-4</v>
      </c>
      <c r="M33" s="115">
        <f t="shared" si="13"/>
        <v>2291.6999999999998</v>
      </c>
      <c r="N33" s="107">
        <f t="shared" si="14"/>
        <v>102.11473429999997</v>
      </c>
      <c r="O33" s="110">
        <v>7.0000000000000001E-3</v>
      </c>
      <c r="P33" s="111">
        <f t="shared" si="1"/>
        <v>2244.240281003209</v>
      </c>
      <c r="Q33" s="112">
        <f t="shared" si="2"/>
        <v>5.4872007360599753</v>
      </c>
    </row>
    <row r="34" spans="1:17" ht="14.4" x14ac:dyDescent="0.3">
      <c r="A34" s="103">
        <f t="shared" si="15"/>
        <v>2020</v>
      </c>
      <c r="B34" s="106">
        <f t="shared" si="3"/>
        <v>13236.381966283934</v>
      </c>
      <c r="C34" s="113">
        <f t="shared" si="4"/>
        <v>4.9672599905080288</v>
      </c>
      <c r="D34" s="106">
        <f t="shared" si="5"/>
        <v>13126.049946895913</v>
      </c>
      <c r="E34" s="113">
        <f t="shared" si="6"/>
        <v>4.9258553357485884</v>
      </c>
      <c r="F34" s="106">
        <f t="shared" si="7"/>
        <v>14025.966436876633</v>
      </c>
      <c r="G34" s="113">
        <f t="shared" si="8"/>
        <v>5.2635699156742852</v>
      </c>
      <c r="H34" s="106">
        <f t="shared" si="9"/>
        <v>12284.375772728774</v>
      </c>
      <c r="I34" s="113">
        <f t="shared" si="10"/>
        <v>4.609997538577594</v>
      </c>
      <c r="J34" s="106">
        <f t="shared" si="11"/>
        <v>13236.381966283934</v>
      </c>
      <c r="K34" s="113">
        <f t="shared" si="16"/>
        <v>1.1079530484723414</v>
      </c>
      <c r="L34" s="114">
        <f t="shared" si="12"/>
        <v>3.7527324333498131E-4</v>
      </c>
      <c r="M34" s="115">
        <f t="shared" si="13"/>
        <v>2291.6999999999998</v>
      </c>
      <c r="N34" s="107">
        <f t="shared" si="14"/>
        <v>102.82953744009995</v>
      </c>
      <c r="O34" s="110">
        <v>7.0000000000000001E-3</v>
      </c>
      <c r="P34" s="111">
        <f t="shared" si="1"/>
        <v>2228.639802386504</v>
      </c>
      <c r="Q34" s="112">
        <f t="shared" si="2"/>
        <v>5.7757917555892719</v>
      </c>
    </row>
    <row r="35" spans="1:17" ht="14.4" x14ac:dyDescent="0.3">
      <c r="A35" s="103">
        <f t="shared" si="15"/>
        <v>2021</v>
      </c>
      <c r="B35" s="106">
        <f t="shared" si="3"/>
        <v>13932.529446624141</v>
      </c>
      <c r="C35" s="113">
        <f t="shared" si="4"/>
        <v>5.228505513294774</v>
      </c>
      <c r="D35" s="106">
        <f t="shared" si="5"/>
        <v>13787.512563410799</v>
      </c>
      <c r="E35" s="113">
        <f t="shared" si="6"/>
        <v>5.1740845571929723</v>
      </c>
      <c r="F35" s="106">
        <f t="shared" si="7"/>
        <v>14979.052734520132</v>
      </c>
      <c r="G35" s="113">
        <f t="shared" si="8"/>
        <v>5.6212377017690907</v>
      </c>
      <c r="H35" s="106">
        <f t="shared" si="9"/>
        <v>12691.405535870797</v>
      </c>
      <c r="I35" s="113">
        <f t="shared" si="10"/>
        <v>4.7627449179257706</v>
      </c>
      <c r="J35" s="106">
        <f t="shared" si="11"/>
        <v>13932.529446624141</v>
      </c>
      <c r="K35" s="113">
        <f t="shared" si="16"/>
        <v>1.1662241625119594</v>
      </c>
      <c r="L35" s="114">
        <f t="shared" si="12"/>
        <v>3.7527324333498131E-4</v>
      </c>
      <c r="M35" s="115">
        <f t="shared" si="13"/>
        <v>2291.6999999999998</v>
      </c>
      <c r="N35" s="107">
        <f t="shared" si="14"/>
        <v>103.54934420218065</v>
      </c>
      <c r="O35" s="110">
        <v>7.0000000000000001E-3</v>
      </c>
      <c r="P35" s="111">
        <f t="shared" si="1"/>
        <v>2213.1477680104313</v>
      </c>
      <c r="Q35" s="112">
        <f t="shared" si="2"/>
        <v>6.0795607830973264</v>
      </c>
    </row>
    <row r="36" spans="1:17" ht="14.4" x14ac:dyDescent="0.3">
      <c r="A36" s="103">
        <f t="shared" si="15"/>
        <v>2022</v>
      </c>
      <c r="B36" s="106">
        <f t="shared" si="3"/>
        <v>14665.289750288612</v>
      </c>
      <c r="C36" s="113">
        <f t="shared" si="4"/>
        <v>5.5034908490380658</v>
      </c>
      <c r="D36" s="106">
        <f t="shared" si="5"/>
        <v>14482.308345258503</v>
      </c>
      <c r="E36" s="113">
        <f t="shared" si="6"/>
        <v>5.434822823702425</v>
      </c>
      <c r="F36" s="106">
        <f t="shared" si="7"/>
        <v>15996.902732750246</v>
      </c>
      <c r="G36" s="113">
        <f t="shared" si="8"/>
        <v>6.0032095718334109</v>
      </c>
      <c r="H36" s="106">
        <f t="shared" si="9"/>
        <v>13111.921798542675</v>
      </c>
      <c r="I36" s="113">
        <f t="shared" si="10"/>
        <v>4.9205534196937508</v>
      </c>
      <c r="J36" s="106">
        <f t="shared" si="11"/>
        <v>14665.289750288612</v>
      </c>
      <c r="K36" s="113">
        <f t="shared" si="16"/>
        <v>1.2275599576191549</v>
      </c>
      <c r="L36" s="114">
        <f t="shared" si="12"/>
        <v>3.7527324333498131E-4</v>
      </c>
      <c r="M36" s="115">
        <f t="shared" si="13"/>
        <v>2291.6999999999998</v>
      </c>
      <c r="N36" s="107">
        <f t="shared" si="14"/>
        <v>104.2741896115959</v>
      </c>
      <c r="O36" s="110">
        <v>7.0000000000000001E-3</v>
      </c>
      <c r="P36" s="111">
        <f t="shared" si="1"/>
        <v>2197.7634240421362</v>
      </c>
      <c r="Q36" s="112">
        <f t="shared" si="2"/>
        <v>6.399306082946552</v>
      </c>
    </row>
    <row r="38" spans="1:17" x14ac:dyDescent="0.25">
      <c r="A38" s="103" t="s">
        <v>296</v>
      </c>
    </row>
    <row r="39" spans="1:17" ht="14.4" x14ac:dyDescent="0.3">
      <c r="A39" s="103" t="s">
        <v>297</v>
      </c>
      <c r="B39" s="110">
        <f>(B$30/B$19)^(1/11)-1</f>
        <v>3.3133939458741324E-2</v>
      </c>
      <c r="M39" s="110">
        <f>(M30/M21)^(1/9)-1</f>
        <v>1.5212676528731484E-2</v>
      </c>
      <c r="N39" s="110">
        <f>(N30/N21)^(1/9)-1</f>
        <v>9.4124730802926937E-3</v>
      </c>
      <c r="P39" s="110">
        <f>(P30/P21)^(1/9)-1</f>
        <v>5.7461182649538589E-3</v>
      </c>
    </row>
    <row r="40" spans="1:17" ht="14.4" x14ac:dyDescent="0.3">
      <c r="A40" s="103" t="s">
        <v>298</v>
      </c>
      <c r="B40" s="110">
        <f>(B$30/B$14)^(1/16)-1</f>
        <v>5.2593486808816259E-2</v>
      </c>
      <c r="M40" s="110">
        <f>(M$30/M$14)^(1/16)-1</f>
        <v>2.5691380395714614E-2</v>
      </c>
      <c r="N40" s="110">
        <f>(N$30/N$14)^(1/16)-1</f>
        <v>1.4182574445883889E-2</v>
      </c>
      <c r="P40" s="110">
        <f>(P$30/P$14)^(1/16)-1</f>
        <v>1.1347864023515397E-2</v>
      </c>
    </row>
    <row r="41" spans="1:17" ht="14.4" x14ac:dyDescent="0.3">
      <c r="A41" s="103" t="s">
        <v>299</v>
      </c>
      <c r="B41" s="110">
        <f>(B$30/B$4)^(1/26)-1</f>
        <v>5.0393120488720244E-2</v>
      </c>
      <c r="M41" s="110">
        <f>(M$30/M$4)^(1/26)-1</f>
        <v>2.9049188447524354E-2</v>
      </c>
      <c r="N41" s="110">
        <f>(N$30/N$4)^(1/26)-1</f>
        <v>1.382228119474771E-2</v>
      </c>
      <c r="P41" s="110">
        <f>(P$30/P$4)^(1/26)-1</f>
        <v>1.5019306179414826E-2</v>
      </c>
    </row>
    <row r="42" spans="1:17" ht="14.4" x14ac:dyDescent="0.3">
      <c r="A42" s="103" t="s">
        <v>300</v>
      </c>
      <c r="B42" s="110">
        <f>(B$21/B$4)^(1/17)-1</f>
        <v>6.795155983958967E-2</v>
      </c>
    </row>
  </sheetData>
  <mergeCells count="6">
    <mergeCell ref="L2:L3"/>
    <mergeCell ref="B3:C3"/>
    <mergeCell ref="D3:E3"/>
    <mergeCell ref="F3:G3"/>
    <mergeCell ref="H3:I3"/>
    <mergeCell ref="J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thickBot="1" x14ac:dyDescent="0.35">
      <c r="A1" s="29" t="s">
        <v>147</v>
      </c>
    </row>
    <row r="2" spans="1:35" ht="40.049999999999997" customHeight="1" thickTop="1" thickBot="1" x14ac:dyDescent="0.35">
      <c r="A2" s="16"/>
      <c r="B2" s="15"/>
      <c r="C2" s="15"/>
      <c r="D2" s="15"/>
      <c r="E2" s="15"/>
      <c r="F2" s="15"/>
      <c r="G2" s="15"/>
    </row>
    <row r="3" spans="1:35" ht="18" customHeight="1" thickTop="1" thickBot="1" x14ac:dyDescent="0.35">
      <c r="A3" s="14"/>
    </row>
    <row r="4" spans="1:35" ht="31.2" customHeight="1" thickTop="1" x14ac:dyDescent="0.3">
      <c r="A4" s="118" t="s">
        <v>0</v>
      </c>
      <c r="B4" s="120" t="s">
        <v>146</v>
      </c>
      <c r="C4" s="121"/>
      <c r="D4" s="121"/>
      <c r="E4" s="121"/>
      <c r="F4" s="121"/>
      <c r="G4" s="122"/>
      <c r="H4" s="120" t="s">
        <v>2</v>
      </c>
      <c r="I4" s="121"/>
      <c r="J4" s="121"/>
      <c r="K4" s="121"/>
      <c r="L4" s="121"/>
      <c r="M4" s="122"/>
      <c r="N4" s="120" t="s">
        <v>3</v>
      </c>
      <c r="O4" s="121"/>
      <c r="P4" s="121"/>
      <c r="Q4" s="121"/>
      <c r="R4" s="121"/>
      <c r="S4" s="122"/>
      <c r="T4" s="123" t="s">
        <v>152</v>
      </c>
      <c r="U4" s="124"/>
      <c r="V4" s="124"/>
      <c r="W4" s="124"/>
      <c r="X4" s="124"/>
      <c r="Y4" s="125"/>
      <c r="Z4" s="60"/>
      <c r="AA4" s="60"/>
      <c r="AB4" s="60"/>
      <c r="AC4" s="60"/>
      <c r="AD4" s="60"/>
      <c r="AE4" s="60"/>
      <c r="AF4" s="60"/>
      <c r="AG4" s="60"/>
      <c r="AH4" s="60"/>
    </row>
    <row r="5" spans="1:35" ht="92.4" customHeight="1" thickBot="1" x14ac:dyDescent="0.35">
      <c r="A5" s="119"/>
      <c r="B5" s="20" t="s">
        <v>148</v>
      </c>
      <c r="C5" s="12" t="s">
        <v>5</v>
      </c>
      <c r="D5" s="21" t="s">
        <v>4</v>
      </c>
      <c r="E5" s="12" t="s">
        <v>149</v>
      </c>
      <c r="F5" s="12" t="s">
        <v>5</v>
      </c>
      <c r="G5" s="21" t="s">
        <v>4</v>
      </c>
      <c r="H5" s="20" t="s">
        <v>148</v>
      </c>
      <c r="I5" s="12" t="s">
        <v>5</v>
      </c>
      <c r="J5" s="21" t="s">
        <v>4</v>
      </c>
      <c r="K5" s="12" t="s">
        <v>150</v>
      </c>
      <c r="L5" s="12" t="s">
        <v>5</v>
      </c>
      <c r="M5" s="21" t="s">
        <v>4</v>
      </c>
      <c r="N5" s="20" t="s">
        <v>148</v>
      </c>
      <c r="O5" s="12" t="s">
        <v>5</v>
      </c>
      <c r="P5" s="21" t="s">
        <v>4</v>
      </c>
      <c r="Q5" s="12" t="s">
        <v>151</v>
      </c>
      <c r="R5" s="12" t="s">
        <v>5</v>
      </c>
      <c r="S5" s="21" t="s">
        <v>4</v>
      </c>
      <c r="T5" s="20" t="s">
        <v>148</v>
      </c>
      <c r="U5" s="12" t="s">
        <v>5</v>
      </c>
      <c r="V5" s="21" t="s">
        <v>4</v>
      </c>
      <c r="W5" s="20" t="s">
        <v>153</v>
      </c>
      <c r="X5" s="12" t="s">
        <v>5</v>
      </c>
      <c r="Y5" s="21" t="s">
        <v>4</v>
      </c>
      <c r="Z5" s="12"/>
      <c r="AA5" s="12"/>
      <c r="AB5" s="12"/>
      <c r="AC5" s="12"/>
      <c r="AD5" s="12"/>
      <c r="AE5" s="12"/>
      <c r="AF5" s="12"/>
      <c r="AG5" s="12"/>
      <c r="AH5" s="12"/>
    </row>
    <row r="6" spans="1:35" ht="18" customHeight="1" thickTop="1" x14ac:dyDescent="0.3">
      <c r="A6" s="11">
        <v>1955</v>
      </c>
      <c r="B6" s="10"/>
      <c r="C6" s="9"/>
      <c r="D6" s="23"/>
      <c r="E6" s="5"/>
      <c r="F6" s="5"/>
      <c r="G6" s="22"/>
      <c r="H6" s="10"/>
      <c r="I6" s="9"/>
      <c r="J6" s="23"/>
      <c r="K6" s="5"/>
      <c r="L6" s="5"/>
      <c r="M6" s="22"/>
      <c r="N6" s="10"/>
      <c r="O6" s="9"/>
      <c r="P6" s="23"/>
      <c r="Q6" s="5"/>
      <c r="R6" s="5"/>
      <c r="S6" s="22"/>
      <c r="T6" s="10"/>
      <c r="U6" s="9"/>
      <c r="V6" s="23"/>
      <c r="W6" s="6"/>
      <c r="X6" s="9"/>
      <c r="Y6" s="23"/>
      <c r="Z6" s="5"/>
      <c r="AA6" s="5"/>
      <c r="AB6" s="5"/>
      <c r="AC6" s="5"/>
      <c r="AD6" s="5"/>
      <c r="AE6" s="5"/>
      <c r="AF6" s="5"/>
      <c r="AG6" s="5"/>
      <c r="AH6" s="5"/>
      <c r="AI6" s="4">
        <v>0</v>
      </c>
    </row>
    <row r="7" spans="1:35" ht="18" customHeight="1" x14ac:dyDescent="0.3">
      <c r="A7" s="3">
        <f>A6+1</f>
        <v>1956</v>
      </c>
      <c r="B7" s="6">
        <v>-0.13522129837336494</v>
      </c>
      <c r="C7" s="5">
        <f>B7+(F7-E7)</f>
        <v>-0.17038363897407072</v>
      </c>
      <c r="D7" s="22">
        <f>B7+(G7-E7)</f>
        <v>-0.10005895777265916</v>
      </c>
      <c r="E7" s="5">
        <v>-0.14733815311082932</v>
      </c>
      <c r="F7" s="5">
        <v>-0.18250049371153509</v>
      </c>
      <c r="G7" s="22">
        <v>-0.11217581251012354</v>
      </c>
      <c r="H7" s="6">
        <v>-0.12842842068937088</v>
      </c>
      <c r="I7" s="5">
        <f>H7+(L7-K7)</f>
        <v>-0.17881406304167283</v>
      </c>
      <c r="J7" s="22">
        <f>H7+(M7-K7)</f>
        <v>-7.8042778337068908E-2</v>
      </c>
      <c r="K7" s="5">
        <v>-8.8055892162159949E-2</v>
      </c>
      <c r="L7" s="5">
        <v>-0.13844153451446189</v>
      </c>
      <c r="M7" s="22">
        <v>-3.7670249809857975E-2</v>
      </c>
      <c r="N7" s="6">
        <v>-0.28547152251618402</v>
      </c>
      <c r="O7" s="5">
        <f>N7+(R7-Q7)</f>
        <v>-0.30904787103028886</v>
      </c>
      <c r="P7" s="22">
        <f>N7+(S7-Q7)</f>
        <v>-0.26189517400207918</v>
      </c>
      <c r="Q7" s="5">
        <v>-0.25051005786485148</v>
      </c>
      <c r="R7" s="5">
        <v>-0.27408640637895632</v>
      </c>
      <c r="S7" s="22">
        <v>-0.22693370935074664</v>
      </c>
      <c r="T7" s="6">
        <v>-0.17095420247872828</v>
      </c>
      <c r="U7" s="5">
        <f>T7+($C7-$B7)</f>
        <v>-0.20611654307943406</v>
      </c>
      <c r="V7" s="22">
        <f>T7+($D7-$B7)</f>
        <v>-0.1357918618780225</v>
      </c>
      <c r="W7" s="6">
        <v>-0.17577155410568407</v>
      </c>
      <c r="X7" s="5">
        <f>W7+($C7-$B7)</f>
        <v>-0.21093389470638985</v>
      </c>
      <c r="Y7" s="22">
        <f>W7+($D7-$B7)</f>
        <v>-0.14060921350497829</v>
      </c>
      <c r="Z7" s="5"/>
      <c r="AA7" s="5"/>
      <c r="AB7" s="5"/>
      <c r="AC7" s="5"/>
      <c r="AD7" s="5"/>
      <c r="AE7" s="5"/>
      <c r="AF7" s="5"/>
      <c r="AG7" s="5"/>
      <c r="AH7" s="5"/>
      <c r="AI7" s="4">
        <v>0</v>
      </c>
    </row>
    <row r="8" spans="1:35" ht="18" customHeight="1" x14ac:dyDescent="0.3">
      <c r="A8" s="3">
        <f t="shared" ref="A8:A71" si="0">A7+1</f>
        <v>1957</v>
      </c>
      <c r="B8" s="6"/>
      <c r="C8" s="5"/>
      <c r="D8" s="22"/>
      <c r="E8" s="5"/>
      <c r="F8" s="5"/>
      <c r="G8" s="22"/>
      <c r="H8" s="6"/>
      <c r="I8" s="5"/>
      <c r="J8" s="22"/>
      <c r="K8" s="5"/>
      <c r="L8" s="5"/>
      <c r="M8" s="22"/>
      <c r="N8" s="6"/>
      <c r="O8" s="5"/>
      <c r="P8" s="22"/>
      <c r="Q8" s="5"/>
      <c r="R8" s="5"/>
      <c r="S8" s="22"/>
      <c r="T8" s="6"/>
      <c r="U8" s="5"/>
      <c r="V8" s="22"/>
      <c r="W8" s="10"/>
      <c r="X8" s="5"/>
      <c r="Y8" s="22"/>
      <c r="Z8" s="5"/>
      <c r="AA8" s="5"/>
      <c r="AB8" s="5"/>
      <c r="AC8" s="5"/>
      <c r="AD8" s="5"/>
      <c r="AE8" s="5"/>
      <c r="AF8" s="5"/>
      <c r="AG8" s="5"/>
      <c r="AH8" s="5"/>
      <c r="AI8" s="4">
        <v>0</v>
      </c>
    </row>
    <row r="9" spans="1:35" ht="18" customHeight="1" x14ac:dyDescent="0.3">
      <c r="A9" s="3">
        <f t="shared" si="0"/>
        <v>1958</v>
      </c>
      <c r="B9" s="6">
        <v>-0.14523681870467178</v>
      </c>
      <c r="C9" s="5">
        <f>B9+(F9-E9)</f>
        <v>-0.18039915930537756</v>
      </c>
      <c r="D9" s="22">
        <f>B9+(G9-E9)</f>
        <v>-0.11007447810396601</v>
      </c>
      <c r="E9" s="5">
        <v>-0.12481552272773377</v>
      </c>
      <c r="F9" s="5">
        <v>-0.15997786332843955</v>
      </c>
      <c r="G9" s="22">
        <v>-8.9653182127027997E-2</v>
      </c>
      <c r="H9" s="6">
        <v>-0.12375687479972834</v>
      </c>
      <c r="I9" s="5">
        <f>H9+(L9-K9)</f>
        <v>-0.1741425171520303</v>
      </c>
      <c r="J9" s="22">
        <f>H9+(M9-K9)</f>
        <v>-7.3371232447426368E-2</v>
      </c>
      <c r="K9" s="5">
        <v>-8.181753796956194E-2</v>
      </c>
      <c r="L9" s="5">
        <v>-0.1322031803218639</v>
      </c>
      <c r="M9" s="22">
        <v>-3.1431895617259967E-2</v>
      </c>
      <c r="N9" s="6">
        <v>-0.28079997662654099</v>
      </c>
      <c r="O9" s="5">
        <f>N9+(R9-Q9)</f>
        <v>-0.30437632514064583</v>
      </c>
      <c r="P9" s="22">
        <f>N9+(S9-Q9)</f>
        <v>-0.25722362811243615</v>
      </c>
      <c r="Q9" s="5">
        <v>-0.24583851197520845</v>
      </c>
      <c r="R9" s="5">
        <v>-0.26941486048931329</v>
      </c>
      <c r="S9" s="22">
        <v>-0.22226216346110361</v>
      </c>
      <c r="T9" s="6">
        <v>-0.21277940719276286</v>
      </c>
      <c r="U9" s="5">
        <f>T9+($C9-$B9)</f>
        <v>-0.24794174779346864</v>
      </c>
      <c r="V9" s="22">
        <f>T9+($D9-$B9)</f>
        <v>-0.17761706659205709</v>
      </c>
      <c r="W9" s="6">
        <v>-0.20542685413592626</v>
      </c>
      <c r="X9" s="5">
        <f>W9+($C9-$B9)</f>
        <v>-0.24058919473663204</v>
      </c>
      <c r="Y9" s="22">
        <f>W9+($D9-$B9)</f>
        <v>-0.17026451353522049</v>
      </c>
      <c r="Z9" s="5"/>
      <c r="AA9" s="5"/>
      <c r="AB9" s="5"/>
      <c r="AC9" s="5"/>
      <c r="AD9" s="5"/>
      <c r="AE9" s="5"/>
      <c r="AF9" s="5"/>
      <c r="AG9" s="5"/>
      <c r="AH9" s="5"/>
      <c r="AI9" s="4">
        <v>0</v>
      </c>
    </row>
    <row r="10" spans="1:35" ht="18" customHeight="1" x14ac:dyDescent="0.3">
      <c r="A10" s="3">
        <f t="shared" si="0"/>
        <v>1959</v>
      </c>
      <c r="B10" s="6"/>
      <c r="C10" s="5"/>
      <c r="D10" s="22"/>
      <c r="E10" s="5"/>
      <c r="F10" s="5"/>
      <c r="G10" s="22"/>
      <c r="H10" s="6"/>
      <c r="I10" s="5"/>
      <c r="J10" s="22"/>
      <c r="K10" s="5"/>
      <c r="L10" s="5"/>
      <c r="M10" s="22"/>
      <c r="N10" s="6"/>
      <c r="O10" s="5"/>
      <c r="P10" s="22"/>
      <c r="Q10" s="5"/>
      <c r="R10" s="5"/>
      <c r="S10" s="22"/>
      <c r="T10" s="6"/>
      <c r="U10" s="5"/>
      <c r="V10" s="22"/>
      <c r="W10" s="10"/>
      <c r="X10" s="5"/>
      <c r="Y10" s="22"/>
      <c r="Z10" s="5"/>
      <c r="AA10" s="5"/>
      <c r="AB10" s="5"/>
      <c r="AC10" s="5"/>
      <c r="AD10" s="5"/>
      <c r="AE10" s="5"/>
      <c r="AF10" s="5"/>
      <c r="AG10" s="5"/>
      <c r="AH10" s="5"/>
      <c r="AI10" s="4">
        <v>0</v>
      </c>
    </row>
    <row r="11" spans="1:35" ht="18" customHeight="1" x14ac:dyDescent="0.3">
      <c r="A11" s="3">
        <f t="shared" si="0"/>
        <v>1960</v>
      </c>
      <c r="B11" s="6"/>
      <c r="C11" s="5"/>
      <c r="D11" s="22"/>
      <c r="E11" s="5"/>
      <c r="F11" s="5"/>
      <c r="G11" s="22"/>
      <c r="H11" s="6"/>
      <c r="I11" s="5"/>
      <c r="J11" s="22"/>
      <c r="K11" s="5"/>
      <c r="L11" s="5"/>
      <c r="M11" s="22"/>
      <c r="N11" s="6"/>
      <c r="O11" s="5"/>
      <c r="P11" s="22"/>
      <c r="Q11" s="5"/>
      <c r="R11" s="5"/>
      <c r="S11" s="22"/>
      <c r="T11" s="6"/>
      <c r="U11" s="5"/>
      <c r="V11" s="22"/>
      <c r="W11" s="10"/>
      <c r="X11" s="5"/>
      <c r="Y11" s="22"/>
      <c r="Z11" s="5"/>
      <c r="AA11" s="5"/>
      <c r="AB11" s="5"/>
      <c r="AC11" s="5"/>
      <c r="AD11" s="5"/>
      <c r="AE11" s="5"/>
      <c r="AF11" s="5"/>
      <c r="AG11" s="5"/>
      <c r="AH11" s="5"/>
      <c r="AI11" s="4">
        <v>0</v>
      </c>
    </row>
    <row r="12" spans="1:35" ht="18" customHeight="1" x14ac:dyDescent="0.3">
      <c r="A12" s="3">
        <f t="shared" si="0"/>
        <v>1961</v>
      </c>
      <c r="B12" s="6"/>
      <c r="C12" s="5"/>
      <c r="D12" s="22"/>
      <c r="E12" s="5"/>
      <c r="F12" s="5"/>
      <c r="G12" s="22"/>
      <c r="H12" s="6"/>
      <c r="I12" s="5"/>
      <c r="J12" s="22"/>
      <c r="K12" s="5"/>
      <c r="L12" s="5"/>
      <c r="M12" s="22"/>
      <c r="N12" s="6"/>
      <c r="O12" s="5"/>
      <c r="P12" s="22"/>
      <c r="Q12" s="5"/>
      <c r="R12" s="5"/>
      <c r="S12" s="22"/>
      <c r="T12" s="6"/>
      <c r="U12" s="5"/>
      <c r="V12" s="22"/>
      <c r="W12" s="10"/>
      <c r="X12" s="5"/>
      <c r="Y12" s="22"/>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2">
        <f>B13+(G13-E13)</f>
        <v>-0.1006757992102261</v>
      </c>
      <c r="E13" s="5">
        <v>-9.6865582444050594E-2</v>
      </c>
      <c r="F13" s="5">
        <v>-0.13656483582212908</v>
      </c>
      <c r="G13" s="22">
        <v>-5.7166329065972118E-2</v>
      </c>
      <c r="H13" s="6">
        <v>-0.13309996657901341</v>
      </c>
      <c r="I13" s="5">
        <f>H13+(L13-K13)</f>
        <v>-0.17959572074060509</v>
      </c>
      <c r="J13" s="22">
        <f>H13+(M13-K13)</f>
        <v>-8.6604212417421722E-2</v>
      </c>
      <c r="K13" s="5">
        <v>-9.4294246354757971E-2</v>
      </c>
      <c r="L13" s="5">
        <v>-0.14079000051634966</v>
      </c>
      <c r="M13" s="22">
        <v>-4.7798492193166287E-2</v>
      </c>
      <c r="N13" s="6">
        <v>-0.28943091885543198</v>
      </c>
      <c r="O13" s="5">
        <f>N13+(R13-Q13)</f>
        <v>-0.31300726736953682</v>
      </c>
      <c r="P13" s="22">
        <f>N13+(S13-Q13)</f>
        <v>-0.26585457034132715</v>
      </c>
      <c r="Q13" s="5">
        <v>-0.2544694542040995</v>
      </c>
      <c r="R13" s="5">
        <v>-0.27804580271820434</v>
      </c>
      <c r="S13" s="22">
        <v>-0.23089310568999466</v>
      </c>
      <c r="T13" s="6">
        <v>-0.13702624944278829</v>
      </c>
      <c r="U13" s="5">
        <f>T13+($C13-$B13)</f>
        <v>-0.1767255028208668</v>
      </c>
      <c r="V13" s="22">
        <f>T13+($D13-$B13)</f>
        <v>-9.732699606470982E-2</v>
      </c>
      <c r="W13" s="6">
        <v>-7.1994045593566799E-2</v>
      </c>
      <c r="X13" s="5">
        <f>W13+($C13-$B13)</f>
        <v>-0.1116932989716453</v>
      </c>
      <c r="Y13" s="22">
        <f>W13+($D13-$B13)</f>
        <v>-3.2294792215488324E-2</v>
      </c>
      <c r="Z13" s="5"/>
      <c r="AA13" s="5"/>
      <c r="AB13" s="5"/>
      <c r="AC13" s="5"/>
      <c r="AD13" s="5"/>
      <c r="AE13" s="5"/>
      <c r="AF13" s="5"/>
      <c r="AG13" s="5"/>
      <c r="AH13" s="5"/>
      <c r="AI13" s="4">
        <v>0</v>
      </c>
    </row>
    <row r="14" spans="1:35" ht="18" customHeight="1" x14ac:dyDescent="0.3">
      <c r="A14" s="3">
        <f t="shared" si="0"/>
        <v>1963</v>
      </c>
      <c r="B14" s="6"/>
      <c r="C14" s="5"/>
      <c r="D14" s="22"/>
      <c r="E14" s="5"/>
      <c r="F14" s="5"/>
      <c r="G14" s="22"/>
      <c r="H14" s="6"/>
      <c r="I14" s="5"/>
      <c r="J14" s="22"/>
      <c r="K14" s="5"/>
      <c r="L14" s="5"/>
      <c r="M14" s="22"/>
      <c r="N14" s="6"/>
      <c r="O14" s="5"/>
      <c r="P14" s="22"/>
      <c r="Q14" s="5"/>
      <c r="R14" s="5"/>
      <c r="S14" s="22"/>
      <c r="T14" s="6"/>
      <c r="U14" s="5"/>
      <c r="V14" s="22"/>
      <c r="W14" s="10"/>
      <c r="X14" s="5"/>
      <c r="Y14" s="22"/>
      <c r="Z14" s="5"/>
      <c r="AA14" s="5"/>
      <c r="AB14" s="5"/>
      <c r="AC14" s="5"/>
      <c r="AD14" s="5"/>
      <c r="AE14" s="5"/>
      <c r="AF14" s="5"/>
      <c r="AG14" s="5"/>
      <c r="AH14" s="5"/>
      <c r="AI14" s="4">
        <v>0</v>
      </c>
    </row>
    <row r="15" spans="1:35" ht="18" customHeight="1" x14ac:dyDescent="0.3">
      <c r="A15" s="3">
        <f>A14+1</f>
        <v>1964</v>
      </c>
      <c r="B15" s="6"/>
      <c r="C15" s="5"/>
      <c r="D15" s="22"/>
      <c r="E15" s="5"/>
      <c r="F15" s="5"/>
      <c r="G15" s="22"/>
      <c r="H15" s="6"/>
      <c r="I15" s="5"/>
      <c r="J15" s="22"/>
      <c r="K15" s="5"/>
      <c r="L15" s="5"/>
      <c r="M15" s="22"/>
      <c r="N15" s="6"/>
      <c r="O15" s="5"/>
      <c r="P15" s="22"/>
      <c r="Q15" s="5"/>
      <c r="R15" s="5"/>
      <c r="S15" s="22"/>
      <c r="T15" s="6"/>
      <c r="U15" s="5"/>
      <c r="V15" s="22"/>
      <c r="W15" s="10"/>
      <c r="X15" s="5"/>
      <c r="Y15" s="22"/>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2">
        <f>B16+(G16-E16)</f>
        <v>-3.5639781372240907E-2</v>
      </c>
      <c r="E16" s="5">
        <v>-4.73460276902384E-2</v>
      </c>
      <c r="F16" s="5">
        <v>-8.2299219271055102E-2</v>
      </c>
      <c r="G16" s="22">
        <v>-1.2392836109421698E-2</v>
      </c>
      <c r="H16" s="6">
        <v>-0.13224413187586093</v>
      </c>
      <c r="I16" s="5">
        <f>H16+(L16-K16)</f>
        <v>-0.171962944673485</v>
      </c>
      <c r="J16" s="22">
        <f>H16+(M16-K16)</f>
        <v>-9.2525319078236815E-2</v>
      </c>
      <c r="K16" s="5">
        <v>-0.12125073603431723</v>
      </c>
      <c r="L16" s="5">
        <v>-0.16096954883194131</v>
      </c>
      <c r="M16" s="22">
        <v>-8.1531923236693116E-2</v>
      </c>
      <c r="N16" s="6">
        <v>-0.27711741540337653</v>
      </c>
      <c r="O16" s="5">
        <f>N16+(R16-Q16)</f>
        <v>-0.30069376391748137</v>
      </c>
      <c r="P16" s="22">
        <f>N16+(S16-Q16)</f>
        <v>-0.25354106688927169</v>
      </c>
      <c r="Q16" s="5">
        <v>-0.24215595075204399</v>
      </c>
      <c r="R16" s="5">
        <v>-0.26573229926614883</v>
      </c>
      <c r="S16" s="22">
        <v>-0.21857960223793915</v>
      </c>
      <c r="T16" s="6">
        <v>-6.7994704818464202E-2</v>
      </c>
      <c r="U16" s="5">
        <f>T16+($C16-$B16)</f>
        <v>-0.1029478963992809</v>
      </c>
      <c r="V16" s="22">
        <f>T16+($D16-$B16)</f>
        <v>-3.30415132376475E-2</v>
      </c>
      <c r="W16" s="6">
        <v>-1.3669878664083229E-2</v>
      </c>
      <c r="X16" s="5">
        <f>W16+($C16-$B16)</f>
        <v>-4.8623070244899924E-2</v>
      </c>
      <c r="Y16" s="22">
        <f>W16+($D16-$B16)</f>
        <v>2.1283312916733473E-2</v>
      </c>
      <c r="Z16" s="5"/>
      <c r="AA16" s="5"/>
      <c r="AB16" s="5"/>
      <c r="AC16" s="5"/>
      <c r="AD16" s="5"/>
      <c r="AE16" s="5"/>
      <c r="AF16" s="5"/>
      <c r="AG16" s="5"/>
      <c r="AH16" s="5"/>
      <c r="AI16" s="4">
        <v>0</v>
      </c>
    </row>
    <row r="17" spans="1:35" ht="18" customHeight="1" x14ac:dyDescent="0.3">
      <c r="A17" s="3">
        <f t="shared" si="0"/>
        <v>1966</v>
      </c>
      <c r="B17" s="6"/>
      <c r="C17" s="5"/>
      <c r="D17" s="22"/>
      <c r="E17" s="5"/>
      <c r="F17" s="5"/>
      <c r="G17" s="22"/>
      <c r="H17" s="6"/>
      <c r="I17" s="5"/>
      <c r="J17" s="22"/>
      <c r="K17" s="5"/>
      <c r="L17" s="5"/>
      <c r="M17" s="22"/>
      <c r="N17" s="6"/>
      <c r="O17" s="5"/>
      <c r="P17" s="22"/>
      <c r="Q17" s="5"/>
      <c r="R17" s="5"/>
      <c r="S17" s="22"/>
      <c r="T17" s="6"/>
      <c r="U17" s="5"/>
      <c r="V17" s="22"/>
      <c r="W17" s="10"/>
      <c r="X17" s="5"/>
      <c r="Y17" s="22"/>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2">
        <f>B18+(G18-E18)</f>
        <v>-5.3761543787564134E-2</v>
      </c>
      <c r="E18" s="5">
        <v>-3.2426253703986108E-2</v>
      </c>
      <c r="F18" s="5">
        <v>-7.1554552502775162E-2</v>
      </c>
      <c r="G18" s="22">
        <v>6.702045094802947E-3</v>
      </c>
      <c r="H18" s="6">
        <v>-0.13443720104603052</v>
      </c>
      <c r="I18" s="5">
        <f>H18+(L18-K18)</f>
        <v>-0.1791797866737935</v>
      </c>
      <c r="J18" s="22">
        <f>H18+(M18-K18)</f>
        <v>-8.9694615418267565E-2</v>
      </c>
      <c r="K18" s="5">
        <v>-0.13513738641011699</v>
      </c>
      <c r="L18" s="5">
        <v>-0.17987997203787998</v>
      </c>
      <c r="M18" s="22">
        <v>-9.039480078235404E-2</v>
      </c>
      <c r="N18" s="6">
        <v>-0.28436227072253578</v>
      </c>
      <c r="O18" s="5">
        <f>N18+(R18-Q18)</f>
        <v>-0.30793861923664062</v>
      </c>
      <c r="P18" s="22">
        <f>N18+(S18-Q18)</f>
        <v>-0.26078592220843094</v>
      </c>
      <c r="Q18" s="5">
        <v>-0.24940080607120318</v>
      </c>
      <c r="R18" s="5">
        <v>-0.27297715458530802</v>
      </c>
      <c r="S18" s="22">
        <v>-0.22582445755709835</v>
      </c>
      <c r="T18" s="6">
        <v>-5.0456751202025724E-2</v>
      </c>
      <c r="U18" s="5">
        <f>T18+($C18-$B18)</f>
        <v>-8.9585050000814764E-2</v>
      </c>
      <c r="V18" s="22">
        <f>T18+($D18-$B18)</f>
        <v>-1.1328452403236669E-2</v>
      </c>
      <c r="W18" s="6">
        <v>1.3583459339462013E-2</v>
      </c>
      <c r="X18" s="5">
        <f>W18+($C18-$B18)</f>
        <v>-2.5544839459327028E-2</v>
      </c>
      <c r="Y18" s="22">
        <f>W18+($D18-$B18)</f>
        <v>5.2711758138251068E-2</v>
      </c>
      <c r="Z18" s="5"/>
      <c r="AA18" s="5"/>
      <c r="AB18" s="5"/>
      <c r="AC18" s="5"/>
      <c r="AD18" s="5"/>
      <c r="AE18" s="5"/>
      <c r="AF18" s="5"/>
      <c r="AG18" s="5"/>
      <c r="AH18" s="5"/>
      <c r="AI18" s="4">
        <v>0</v>
      </c>
    </row>
    <row r="19" spans="1:35" ht="18" customHeight="1" x14ac:dyDescent="0.3">
      <c r="A19" s="3">
        <f t="shared" si="0"/>
        <v>1968</v>
      </c>
      <c r="B19" s="6"/>
      <c r="C19" s="5"/>
      <c r="D19" s="22"/>
      <c r="E19" s="5"/>
      <c r="F19" s="5"/>
      <c r="G19" s="22"/>
      <c r="H19" s="6"/>
      <c r="I19" s="5"/>
      <c r="J19" s="22"/>
      <c r="K19" s="5"/>
      <c r="L19" s="5"/>
      <c r="M19" s="22"/>
      <c r="N19" s="6"/>
      <c r="O19" s="5"/>
      <c r="P19" s="22"/>
      <c r="Q19" s="5"/>
      <c r="R19" s="5"/>
      <c r="S19" s="22"/>
      <c r="T19" s="6"/>
      <c r="U19" s="5"/>
      <c r="V19" s="22"/>
      <c r="W19" s="10"/>
      <c r="X19" s="5"/>
      <c r="Y19" s="22"/>
      <c r="Z19" s="5"/>
      <c r="AA19" s="5"/>
      <c r="AB19" s="5"/>
      <c r="AC19" s="5"/>
      <c r="AD19" s="5"/>
      <c r="AE19" s="5"/>
      <c r="AF19" s="5"/>
      <c r="AG19" s="5"/>
      <c r="AH19" s="5"/>
      <c r="AI19" s="4">
        <v>0</v>
      </c>
    </row>
    <row r="20" spans="1:35" ht="18" customHeight="1" x14ac:dyDescent="0.3">
      <c r="A20" s="3">
        <f t="shared" si="0"/>
        <v>1969</v>
      </c>
      <c r="B20" s="6"/>
      <c r="C20" s="5"/>
      <c r="D20" s="22"/>
      <c r="E20" s="5"/>
      <c r="F20" s="5"/>
      <c r="G20" s="22"/>
      <c r="H20" s="6"/>
      <c r="I20" s="5"/>
      <c r="J20" s="22"/>
      <c r="K20" s="5"/>
      <c r="L20" s="5"/>
      <c r="M20" s="22"/>
      <c r="N20" s="6"/>
      <c r="O20" s="5"/>
      <c r="P20" s="22"/>
      <c r="Q20" s="5"/>
      <c r="R20" s="5"/>
      <c r="S20" s="22"/>
      <c r="T20" s="6"/>
      <c r="U20" s="5"/>
      <c r="V20" s="22"/>
      <c r="W20" s="10"/>
      <c r="X20" s="5"/>
      <c r="Y20" s="22"/>
      <c r="Z20" s="5"/>
      <c r="AA20" s="5"/>
      <c r="AB20" s="5"/>
      <c r="AC20" s="5"/>
      <c r="AD20" s="5"/>
      <c r="AE20" s="5"/>
      <c r="AF20" s="5"/>
      <c r="AG20" s="5"/>
      <c r="AH20" s="5"/>
      <c r="AI20" s="4">
        <v>0</v>
      </c>
    </row>
    <row r="21" spans="1:35" ht="18" customHeight="1" x14ac:dyDescent="0.3">
      <c r="A21" s="3">
        <f t="shared" si="0"/>
        <v>1970</v>
      </c>
      <c r="B21" s="6"/>
      <c r="C21" s="5"/>
      <c r="D21" s="22"/>
      <c r="E21" s="5"/>
      <c r="F21" s="5"/>
      <c r="G21" s="22"/>
      <c r="H21" s="6"/>
      <c r="I21" s="5"/>
      <c r="J21" s="22"/>
      <c r="K21" s="5"/>
      <c r="L21" s="5"/>
      <c r="M21" s="22"/>
      <c r="N21" s="6"/>
      <c r="O21" s="5"/>
      <c r="P21" s="22"/>
      <c r="Q21" s="9"/>
      <c r="R21" s="9"/>
      <c r="S21" s="23"/>
      <c r="T21" s="6"/>
      <c r="U21" s="5"/>
      <c r="V21" s="22"/>
      <c r="W21" s="10"/>
      <c r="X21" s="5"/>
      <c r="Y21" s="22"/>
      <c r="Z21" s="9"/>
      <c r="AA21" s="9"/>
      <c r="AB21" s="9"/>
      <c r="AC21" s="9"/>
      <c r="AD21" s="9"/>
      <c r="AE21" s="9"/>
      <c r="AF21" s="9"/>
      <c r="AG21" s="9"/>
      <c r="AH21" s="9"/>
      <c r="AI21" s="4">
        <v>0</v>
      </c>
    </row>
    <row r="22" spans="1:35" ht="18" customHeight="1" x14ac:dyDescent="0.3">
      <c r="A22" s="3">
        <f t="shared" si="0"/>
        <v>1971</v>
      </c>
      <c r="B22" s="6"/>
      <c r="C22" s="5"/>
      <c r="D22" s="22"/>
      <c r="E22" s="5"/>
      <c r="F22" s="5"/>
      <c r="G22" s="22"/>
      <c r="H22" s="6"/>
      <c r="I22" s="5"/>
      <c r="J22" s="22"/>
      <c r="K22" s="5"/>
      <c r="L22" s="5"/>
      <c r="M22" s="22"/>
      <c r="N22" s="6"/>
      <c r="O22" s="5"/>
      <c r="P22" s="22"/>
      <c r="Q22" s="5"/>
      <c r="R22" s="5"/>
      <c r="S22" s="22"/>
      <c r="T22" s="6"/>
      <c r="U22" s="5"/>
      <c r="V22" s="22"/>
      <c r="W22" s="10"/>
      <c r="X22" s="5"/>
      <c r="Y22" s="22"/>
      <c r="Z22" s="5"/>
      <c r="AA22" s="5"/>
      <c r="AB22" s="5"/>
      <c r="AC22" s="5"/>
      <c r="AD22" s="5"/>
      <c r="AE22" s="5"/>
      <c r="AF22" s="5"/>
      <c r="AG22" s="5"/>
      <c r="AH22" s="5"/>
      <c r="AI22" s="4">
        <v>0</v>
      </c>
    </row>
    <row r="23" spans="1:35" ht="18" customHeight="1" x14ac:dyDescent="0.3">
      <c r="A23" s="3">
        <f t="shared" si="0"/>
        <v>1972</v>
      </c>
      <c r="B23" s="6"/>
      <c r="C23" s="5"/>
      <c r="D23" s="22"/>
      <c r="E23" s="5"/>
      <c r="F23" s="5"/>
      <c r="G23" s="22"/>
      <c r="H23" s="6"/>
      <c r="I23" s="5"/>
      <c r="J23" s="22"/>
      <c r="K23" s="5"/>
      <c r="L23" s="5"/>
      <c r="M23" s="22"/>
      <c r="N23" s="6"/>
      <c r="O23" s="5"/>
      <c r="P23" s="22"/>
      <c r="Q23" s="5"/>
      <c r="R23" s="5"/>
      <c r="S23" s="22"/>
      <c r="T23" s="6"/>
      <c r="U23" s="5"/>
      <c r="V23" s="22"/>
      <c r="W23" s="10"/>
      <c r="X23" s="5"/>
      <c r="Y23" s="22"/>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2">
        <f t="shared" ref="D24:D25" si="2">B24+(G24-E24)</f>
        <v>-1.239170849392596E-2</v>
      </c>
      <c r="E24" s="5">
        <v>-7.3831413932422749E-3</v>
      </c>
      <c r="F24" s="5">
        <v>-3.7139368852281113E-2</v>
      </c>
      <c r="G24" s="22">
        <v>2.237308606579656E-2</v>
      </c>
      <c r="H24" s="6">
        <v>-0.14988260136710274</v>
      </c>
      <c r="I24" s="5">
        <f t="shared" ref="I24:I25" si="3">H24+(L24-K24)</f>
        <v>-0.17900774887157087</v>
      </c>
      <c r="J24" s="22">
        <f t="shared" ref="J24:J25" si="4">H24+(M24-K24)</f>
        <v>-0.12075745386263467</v>
      </c>
      <c r="K24" s="5">
        <v>-0.14405745436625653</v>
      </c>
      <c r="L24" s="5">
        <v>-0.17318260187072465</v>
      </c>
      <c r="M24" s="22">
        <v>-0.11493230686178846</v>
      </c>
      <c r="N24" s="6">
        <v>-0.29407710499233675</v>
      </c>
      <c r="O24" s="5">
        <f t="shared" ref="O24:O25" si="5">N24+(R24-Q24)</f>
        <v>-0.31765345350644159</v>
      </c>
      <c r="P24" s="22">
        <f t="shared" ref="P24:P25" si="6">N24+(S24-Q24)</f>
        <v>-0.27050075647823191</v>
      </c>
      <c r="Q24" s="5">
        <v>-0.25911564034100421</v>
      </c>
      <c r="R24" s="5">
        <v>-0.28269198885510904</v>
      </c>
      <c r="S24" s="22">
        <v>-0.23553929182689937</v>
      </c>
      <c r="T24" s="6">
        <v>-3.8651371703616988E-2</v>
      </c>
      <c r="U24" s="5">
        <f t="shared" ref="U24:U25" si="7">T24+($C24-$B24)</f>
        <v>-6.8407599162655819E-2</v>
      </c>
      <c r="V24" s="22">
        <f t="shared" ref="V24:V25" si="8">T24+($D24-$B24)</f>
        <v>-8.8951442445781535E-3</v>
      </c>
      <c r="W24" s="6">
        <v>-4.3797670998097418E-3</v>
      </c>
      <c r="X24" s="5">
        <f t="shared" ref="X24:X25" si="9">W24+($C24-$B24)</f>
        <v>-3.4135994558848581E-2</v>
      </c>
      <c r="Y24" s="22">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2">
        <f t="shared" si="2"/>
        <v>2.6605283782729937E-2</v>
      </c>
      <c r="E25" s="5">
        <v>1.2642656406440786E-2</v>
      </c>
      <c r="F25" s="5">
        <v>-1.5768425674411911E-2</v>
      </c>
      <c r="G25" s="22">
        <v>4.1053738487293483E-2</v>
      </c>
      <c r="H25" s="6">
        <v>-0.11227475272284604</v>
      </c>
      <c r="I25" s="5">
        <f t="shared" si="3"/>
        <v>-0.14156269294373461</v>
      </c>
      <c r="J25" s="22">
        <f t="shared" si="4"/>
        <v>-8.2986812501957441E-2</v>
      </c>
      <c r="K25" s="5">
        <v>-0.12566410828006322</v>
      </c>
      <c r="L25" s="5">
        <v>-0.15495204850095179</v>
      </c>
      <c r="M25" s="22">
        <v>-9.6376168059174622E-2</v>
      </c>
      <c r="N25" s="6">
        <v>-0.25277503000365364</v>
      </c>
      <c r="O25" s="5">
        <f t="shared" si="5"/>
        <v>-0.27857626137852332</v>
      </c>
      <c r="P25" s="22">
        <f t="shared" si="6"/>
        <v>-0.22697379862878392</v>
      </c>
      <c r="Q25" s="5">
        <v>-0.22683088524372763</v>
      </c>
      <c r="R25" s="5">
        <v>-0.2526321166185973</v>
      </c>
      <c r="S25" s="22">
        <v>-0.2010296538688579</v>
      </c>
      <c r="T25" s="6">
        <v>8.0515281483861667E-4</v>
      </c>
      <c r="U25" s="5">
        <f t="shared" si="7"/>
        <v>-2.760592926601408E-2</v>
      </c>
      <c r="V25" s="22">
        <f t="shared" si="8"/>
        <v>2.9216234895691313E-2</v>
      </c>
      <c r="W25" s="6">
        <v>1.5448518846923887E-2</v>
      </c>
      <c r="X25" s="5">
        <f t="shared" si="9"/>
        <v>-1.296256323392881E-2</v>
      </c>
      <c r="Y25" s="22">
        <f t="shared" si="10"/>
        <v>4.3859600927776583E-2</v>
      </c>
      <c r="Z25" s="5"/>
      <c r="AA25" s="5"/>
      <c r="AB25" s="5"/>
      <c r="AC25" s="5"/>
      <c r="AD25" s="5"/>
      <c r="AE25" s="5"/>
      <c r="AF25" s="5"/>
      <c r="AG25" s="5"/>
      <c r="AH25" s="5"/>
      <c r="AI25" s="4">
        <v>0</v>
      </c>
    </row>
    <row r="26" spans="1:35" ht="18" customHeight="1" x14ac:dyDescent="0.3">
      <c r="A26" s="3">
        <f t="shared" si="0"/>
        <v>1975</v>
      </c>
      <c r="B26" s="6"/>
      <c r="C26" s="5"/>
      <c r="D26" s="22"/>
      <c r="E26" s="5"/>
      <c r="F26" s="5"/>
      <c r="G26" s="22"/>
      <c r="H26" s="6"/>
      <c r="I26" s="5"/>
      <c r="J26" s="22"/>
      <c r="K26" s="5"/>
      <c r="L26" s="5"/>
      <c r="M26" s="22"/>
      <c r="N26" s="6"/>
      <c r="O26" s="5"/>
      <c r="P26" s="22"/>
      <c r="Q26" s="5"/>
      <c r="R26" s="5"/>
      <c r="S26" s="22"/>
      <c r="T26" s="6"/>
      <c r="U26" s="5"/>
      <c r="V26" s="22"/>
      <c r="W26" s="10"/>
      <c r="X26" s="5"/>
      <c r="Y26" s="22"/>
      <c r="Z26" s="5"/>
      <c r="AA26" s="5"/>
      <c r="AB26" s="5"/>
      <c r="AC26" s="5"/>
      <c r="AD26" s="5"/>
      <c r="AE26" s="5"/>
      <c r="AF26" s="5"/>
      <c r="AG26" s="5"/>
      <c r="AH26" s="5"/>
      <c r="AI26" s="4">
        <v>0</v>
      </c>
    </row>
    <row r="27" spans="1:35" ht="18" customHeight="1" x14ac:dyDescent="0.3">
      <c r="A27" s="3">
        <f t="shared" si="0"/>
        <v>1976</v>
      </c>
      <c r="B27" s="6"/>
      <c r="C27" s="5"/>
      <c r="D27" s="22"/>
      <c r="E27" s="5"/>
      <c r="F27" s="5"/>
      <c r="G27" s="22"/>
      <c r="H27" s="6"/>
      <c r="I27" s="5"/>
      <c r="J27" s="22"/>
      <c r="K27" s="5"/>
      <c r="L27" s="5"/>
      <c r="M27" s="22"/>
      <c r="N27" s="6"/>
      <c r="O27" s="5"/>
      <c r="P27" s="22"/>
      <c r="Q27" s="5"/>
      <c r="R27" s="5"/>
      <c r="S27" s="22"/>
      <c r="T27" s="6"/>
      <c r="U27" s="5"/>
      <c r="V27" s="22"/>
      <c r="W27" s="10"/>
      <c r="X27" s="5"/>
      <c r="Y27" s="22"/>
      <c r="Z27" s="5"/>
      <c r="AA27" s="5"/>
      <c r="AB27" s="5"/>
      <c r="AC27" s="5"/>
      <c r="AD27" s="5"/>
      <c r="AE27" s="5"/>
      <c r="AF27" s="5"/>
      <c r="AG27" s="5"/>
      <c r="AH27" s="5"/>
      <c r="AI27" s="4">
        <v>0</v>
      </c>
    </row>
    <row r="28" spans="1:35" ht="18" customHeight="1" x14ac:dyDescent="0.3">
      <c r="A28" s="3">
        <f t="shared" si="0"/>
        <v>1977</v>
      </c>
      <c r="B28" s="6"/>
      <c r="C28" s="5"/>
      <c r="D28" s="22"/>
      <c r="E28" s="5"/>
      <c r="F28" s="5"/>
      <c r="G28" s="22"/>
      <c r="H28" s="6"/>
      <c r="I28" s="5"/>
      <c r="J28" s="22"/>
      <c r="K28" s="5"/>
      <c r="L28" s="5"/>
      <c r="M28" s="22"/>
      <c r="N28" s="6"/>
      <c r="O28" s="5"/>
      <c r="P28" s="22"/>
      <c r="Q28" s="5"/>
      <c r="R28" s="5"/>
      <c r="S28" s="22"/>
      <c r="T28" s="6"/>
      <c r="U28" s="5"/>
      <c r="V28" s="22"/>
      <c r="W28" s="10"/>
      <c r="X28" s="5"/>
      <c r="Y28" s="22"/>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2">
        <f t="shared" ref="D29" si="12">B29+(G29-E29)</f>
        <v>8.1600739148184401E-3</v>
      </c>
      <c r="E29" s="5">
        <v>-3.9151105481598537E-3</v>
      </c>
      <c r="F29" s="5">
        <v>-2.9240258200280395E-2</v>
      </c>
      <c r="G29" s="22">
        <v>2.1410037103960687E-2</v>
      </c>
      <c r="H29" s="6">
        <v>-0.15238048964076567</v>
      </c>
      <c r="I29" s="5">
        <f t="shared" ref="I29" si="13">H29+(L29-K29)</f>
        <v>-0.17983212427682915</v>
      </c>
      <c r="J29" s="22">
        <f t="shared" ref="J29" si="14">H29+(M29-K29)</f>
        <v>-0.12492885500470219</v>
      </c>
      <c r="K29" s="5">
        <v>-0.15282633530469136</v>
      </c>
      <c r="L29" s="5">
        <v>-0.18027796994075485</v>
      </c>
      <c r="M29" s="22">
        <v>-0.12537470066862788</v>
      </c>
      <c r="N29" s="6">
        <v>-0.3174609177642399</v>
      </c>
      <c r="O29" s="5">
        <f t="shared" ref="O29" si="15">N29+(R29-Q29)</f>
        <v>-0.33972837423363722</v>
      </c>
      <c r="P29" s="22">
        <f t="shared" ref="P29" si="16">N29+(S29-Q29)</f>
        <v>-0.29519346129484259</v>
      </c>
      <c r="Q29" s="5">
        <v>-0.26307641730126163</v>
      </c>
      <c r="R29" s="5">
        <v>-0.28534387377065895</v>
      </c>
      <c r="S29" s="22">
        <v>-0.24080896083186432</v>
      </c>
      <c r="T29" s="6">
        <v>-1.3074857960086228E-2</v>
      </c>
      <c r="U29" s="5">
        <f t="shared" ref="U29" si="17">T29+($C29-$B29)</f>
        <v>-3.8400005612206772E-2</v>
      </c>
      <c r="V29" s="22">
        <f t="shared" ref="V29" si="18">T29+($D29-$B29)</f>
        <v>1.2250289692034313E-2</v>
      </c>
      <c r="W29" s="6">
        <v>-4.909991749831432E-4</v>
      </c>
      <c r="X29" s="5">
        <f t="shared" ref="X29" si="19">W29+($C29-$B29)</f>
        <v>-2.5816146827103682E-2</v>
      </c>
      <c r="Y29" s="22">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2"/>
      <c r="E30" s="5"/>
      <c r="F30" s="5"/>
      <c r="G30" s="22"/>
      <c r="H30" s="6"/>
      <c r="I30" s="5"/>
      <c r="J30" s="22"/>
      <c r="K30" s="5"/>
      <c r="L30" s="5"/>
      <c r="M30" s="22"/>
      <c r="N30" s="6"/>
      <c r="O30" s="5"/>
      <c r="P30" s="22"/>
      <c r="Q30" s="5"/>
      <c r="R30" s="5"/>
      <c r="S30" s="22"/>
      <c r="T30" s="6"/>
      <c r="U30" s="5"/>
      <c r="V30" s="22"/>
      <c r="W30" s="10"/>
      <c r="X30" s="5"/>
      <c r="Y30" s="22"/>
      <c r="Z30" s="5"/>
      <c r="AA30" s="5"/>
      <c r="AB30" s="5"/>
      <c r="AC30" s="5"/>
      <c r="AD30" s="5"/>
      <c r="AE30" s="5"/>
      <c r="AF30" s="5"/>
      <c r="AG30" s="5"/>
      <c r="AH30" s="5"/>
      <c r="AI30" s="4">
        <v>0</v>
      </c>
    </row>
    <row r="31" spans="1:35" ht="18" customHeight="1" x14ac:dyDescent="0.3">
      <c r="A31" s="3">
        <f t="shared" si="0"/>
        <v>1980</v>
      </c>
      <c r="B31" s="6"/>
      <c r="C31" s="5"/>
      <c r="D31" s="22"/>
      <c r="E31" s="5"/>
      <c r="F31" s="5"/>
      <c r="G31" s="22"/>
      <c r="H31" s="6"/>
      <c r="I31" s="5"/>
      <c r="J31" s="22"/>
      <c r="K31" s="5"/>
      <c r="L31" s="5"/>
      <c r="M31" s="22"/>
      <c r="N31" s="6"/>
      <c r="O31" s="5"/>
      <c r="P31" s="22"/>
      <c r="Q31" s="5"/>
      <c r="R31" s="5"/>
      <c r="S31" s="22"/>
      <c r="T31" s="6"/>
      <c r="U31" s="5"/>
      <c r="V31" s="22"/>
      <c r="W31" s="10"/>
      <c r="X31" s="5"/>
      <c r="Y31" s="22"/>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2">
        <f>B32+(G29-E29)</f>
        <v>4.0269768524779058E-3</v>
      </c>
      <c r="E32" s="5"/>
      <c r="F32" s="5"/>
      <c r="G32" s="22"/>
      <c r="H32" s="6"/>
      <c r="I32" s="5"/>
      <c r="J32" s="22"/>
      <c r="K32" s="5"/>
      <c r="L32" s="5"/>
      <c r="M32" s="22"/>
      <c r="N32" s="6"/>
      <c r="O32" s="5"/>
      <c r="P32" s="22"/>
      <c r="Q32" s="5"/>
      <c r="R32" s="5"/>
      <c r="S32" s="22"/>
      <c r="T32" s="6">
        <v>-1.0000000000000009E-2</v>
      </c>
      <c r="U32" s="5">
        <f t="shared" ref="U32" si="21">T32+($C32-$B32)</f>
        <v>-3.5325147652120553E-2</v>
      </c>
      <c r="V32" s="22">
        <f t="shared" ref="V32" si="22">T32+($D32-$B32)</f>
        <v>1.5325147652120532E-2</v>
      </c>
      <c r="W32" s="10"/>
      <c r="X32" s="5"/>
      <c r="Y32" s="22"/>
      <c r="Z32" s="5"/>
      <c r="AA32" s="5"/>
      <c r="AB32" s="5"/>
      <c r="AC32" s="5"/>
      <c r="AD32" s="5"/>
      <c r="AE32" s="5"/>
      <c r="AF32" s="5"/>
      <c r="AG32" s="5"/>
      <c r="AH32" s="5"/>
      <c r="AI32" s="4">
        <v>0</v>
      </c>
    </row>
    <row r="33" spans="1:35" ht="18" customHeight="1" x14ac:dyDescent="0.3">
      <c r="A33" s="3">
        <f t="shared" si="0"/>
        <v>1982</v>
      </c>
      <c r="B33" s="6"/>
      <c r="C33" s="5"/>
      <c r="D33" s="22"/>
      <c r="E33" s="5"/>
      <c r="F33" s="5"/>
      <c r="G33" s="22"/>
      <c r="H33" s="6"/>
      <c r="I33" s="5"/>
      <c r="J33" s="22"/>
      <c r="K33" s="5"/>
      <c r="L33" s="5"/>
      <c r="M33" s="22"/>
      <c r="N33" s="6"/>
      <c r="O33" s="5"/>
      <c r="P33" s="22"/>
      <c r="Q33" s="9"/>
      <c r="R33" s="9"/>
      <c r="S33" s="23"/>
      <c r="T33" s="6"/>
      <c r="U33" s="5"/>
      <c r="V33" s="22"/>
      <c r="W33" s="10"/>
      <c r="X33" s="5"/>
      <c r="Y33" s="22"/>
      <c r="Z33" s="9"/>
      <c r="AA33" s="9"/>
      <c r="AB33" s="9"/>
      <c r="AC33" s="9"/>
      <c r="AD33" s="9"/>
      <c r="AE33" s="9"/>
      <c r="AF33" s="9"/>
      <c r="AG33" s="9"/>
      <c r="AH33" s="9"/>
      <c r="AI33" s="4">
        <v>0</v>
      </c>
    </row>
    <row r="34" spans="1:35" ht="18" customHeight="1" x14ac:dyDescent="0.3">
      <c r="A34" s="3">
        <f t="shared" si="0"/>
        <v>1983</v>
      </c>
      <c r="B34" s="6"/>
      <c r="C34" s="5"/>
      <c r="D34" s="22"/>
      <c r="E34" s="5"/>
      <c r="F34" s="5"/>
      <c r="G34" s="22"/>
      <c r="H34" s="6"/>
      <c r="I34" s="5"/>
      <c r="J34" s="22"/>
      <c r="K34" s="5"/>
      <c r="L34" s="5"/>
      <c r="M34" s="22"/>
      <c r="N34" s="6"/>
      <c r="O34" s="5"/>
      <c r="P34" s="22"/>
      <c r="Q34" s="5"/>
      <c r="R34" s="5"/>
      <c r="S34" s="22"/>
      <c r="T34" s="6"/>
      <c r="U34" s="5"/>
      <c r="V34" s="22"/>
      <c r="W34" s="10"/>
      <c r="X34" s="5"/>
      <c r="Y34" s="22"/>
      <c r="Z34" s="5"/>
      <c r="AA34" s="5"/>
      <c r="AB34" s="5"/>
      <c r="AC34" s="5"/>
      <c r="AD34" s="5"/>
      <c r="AE34" s="5"/>
      <c r="AF34" s="5"/>
      <c r="AG34" s="5"/>
      <c r="AH34" s="5"/>
      <c r="AI34" s="4">
        <v>0</v>
      </c>
    </row>
    <row r="35" spans="1:35" ht="18" customHeight="1" x14ac:dyDescent="0.3">
      <c r="A35" s="3">
        <f t="shared" si="0"/>
        <v>1984</v>
      </c>
      <c r="B35" s="6"/>
      <c r="C35" s="5"/>
      <c r="D35" s="22"/>
      <c r="E35" s="5"/>
      <c r="F35" s="5"/>
      <c r="G35" s="22"/>
      <c r="H35" s="6"/>
      <c r="I35" s="5"/>
      <c r="J35" s="22"/>
      <c r="K35" s="5"/>
      <c r="L35" s="5"/>
      <c r="M35" s="22"/>
      <c r="N35" s="6"/>
      <c r="O35" s="5"/>
      <c r="P35" s="22"/>
      <c r="Q35" s="5"/>
      <c r="R35" s="5"/>
      <c r="S35" s="22"/>
      <c r="T35" s="6"/>
      <c r="U35" s="5"/>
      <c r="V35" s="22"/>
      <c r="W35" s="10"/>
      <c r="X35" s="5"/>
      <c r="Y35" s="22"/>
      <c r="Z35" s="5"/>
      <c r="AA35" s="5"/>
      <c r="AB35" s="5"/>
      <c r="AC35" s="5"/>
      <c r="AD35" s="5"/>
      <c r="AE35" s="5"/>
      <c r="AF35" s="5"/>
      <c r="AG35" s="5"/>
      <c r="AH35" s="5"/>
      <c r="AI35" s="4">
        <v>0</v>
      </c>
    </row>
    <row r="36" spans="1:35" ht="18" customHeight="1" x14ac:dyDescent="0.3">
      <c r="A36" s="3">
        <f t="shared" si="0"/>
        <v>1985</v>
      </c>
      <c r="B36" s="6"/>
      <c r="C36" s="5"/>
      <c r="D36" s="22"/>
      <c r="E36" s="5"/>
      <c r="F36" s="5"/>
      <c r="G36" s="22"/>
      <c r="H36" s="6"/>
      <c r="I36" s="5"/>
      <c r="J36" s="22"/>
      <c r="K36" s="5"/>
      <c r="L36" s="5"/>
      <c r="M36" s="22"/>
      <c r="N36" s="6"/>
      <c r="O36" s="5"/>
      <c r="P36" s="22"/>
      <c r="Q36" s="5"/>
      <c r="R36" s="5"/>
      <c r="S36" s="22"/>
      <c r="T36" s="6"/>
      <c r="U36" s="5"/>
      <c r="V36" s="22"/>
      <c r="W36" s="10"/>
      <c r="X36" s="5"/>
      <c r="Y36" s="22"/>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2">
        <f t="shared" ref="D37:D39" si="24">B37+(G37-E37)</f>
        <v>3.0651642765400604E-3</v>
      </c>
      <c r="E37" s="5">
        <v>2.779637320603837E-2</v>
      </c>
      <c r="F37" s="5">
        <v>8.5152493042539926E-4</v>
      </c>
      <c r="G37" s="22">
        <v>5.4741221481651337E-2</v>
      </c>
      <c r="H37" s="6">
        <v>-0.12934998340076875</v>
      </c>
      <c r="I37" s="5">
        <f t="shared" ref="I37" si="25">H37+(L37-K37)</f>
        <v>-0.15594003871836001</v>
      </c>
      <c r="J37" s="22">
        <f t="shared" ref="J37" si="26">H37+(M37-K37)</f>
        <v>-0.10275992808317749</v>
      </c>
      <c r="K37" s="5">
        <v>-0.13455210065490672</v>
      </c>
      <c r="L37" s="5">
        <v>-0.16114215597249798</v>
      </c>
      <c r="M37" s="22">
        <v>-0.10796204533731546</v>
      </c>
      <c r="N37" s="6">
        <v>-0.25341878003544283</v>
      </c>
      <c r="O37" s="5">
        <f t="shared" ref="O37" si="27">N37+(R37-Q37)</f>
        <v>-0.27634546284509875</v>
      </c>
      <c r="P37" s="22">
        <f t="shared" ref="P37" si="28">N37+(S37-Q37)</f>
        <v>-0.2304920972257869</v>
      </c>
      <c r="Q37" s="5">
        <v>-0.22628352141135399</v>
      </c>
      <c r="R37" s="5">
        <v>-0.24921020422100992</v>
      </c>
      <c r="S37" s="22">
        <v>-0.20335683860169806</v>
      </c>
      <c r="T37" s="6">
        <v>-1.667172897664615E-2</v>
      </c>
      <c r="U37" s="5">
        <f t="shared" ref="U37:U39" si="29">T37+($C37-$B37)</f>
        <v>-4.361657725225912E-2</v>
      </c>
      <c r="V37" s="22">
        <f t="shared" ref="V37:V39" si="30">T37+($D37-$B37)</f>
        <v>1.0273119298966817E-2</v>
      </c>
      <c r="W37" s="6">
        <v>2.4090671501528247E-2</v>
      </c>
      <c r="X37" s="5">
        <f t="shared" ref="X37:X39" si="31">W37+($C37-$B37)</f>
        <v>-2.8541767740847233E-3</v>
      </c>
      <c r="Y37" s="22">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2"/>
      <c r="E38" s="5"/>
      <c r="F38" s="5"/>
      <c r="G38" s="22"/>
      <c r="H38" s="6"/>
      <c r="I38" s="5"/>
      <c r="J38" s="22"/>
      <c r="K38" s="5"/>
      <c r="L38" s="5"/>
      <c r="M38" s="22"/>
      <c r="N38" s="6"/>
      <c r="O38" s="5"/>
      <c r="P38" s="22"/>
      <c r="Q38" s="5"/>
      <c r="R38" s="5"/>
      <c r="S38" s="22"/>
      <c r="T38" s="6"/>
      <c r="U38" s="5"/>
      <c r="V38" s="22"/>
      <c r="W38" s="6"/>
      <c r="X38" s="5"/>
      <c r="Y38" s="22"/>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2">
        <f t="shared" si="24"/>
        <v>-1.4419833042652569E-2</v>
      </c>
      <c r="E39" s="5">
        <v>1.3688632742102309E-2</v>
      </c>
      <c r="F39" s="5">
        <v>-1.2576865769079577E-2</v>
      </c>
      <c r="G39" s="22">
        <v>3.9954131253284196E-2</v>
      </c>
      <c r="H39" s="6">
        <v>-0.14462632934252417</v>
      </c>
      <c r="I39" s="5">
        <f t="shared" ref="I39" si="33">H39+(L39-K39)</f>
        <v>-0.17088121122027816</v>
      </c>
      <c r="J39" s="22">
        <f t="shared" ref="J39" si="34">H39+(M39-K39)</f>
        <v>-0.11837144746477019</v>
      </c>
      <c r="K39" s="5">
        <v>-0.15220628666301456</v>
      </c>
      <c r="L39" s="5">
        <v>-0.17846116854076854</v>
      </c>
      <c r="M39" s="22">
        <v>-0.12595140478526057</v>
      </c>
      <c r="N39" s="6">
        <v>-0.2510871787865957</v>
      </c>
      <c r="O39" s="5">
        <f t="shared" ref="O39" si="35">N39+(R39-Q39)</f>
        <v>-0.27458293179570487</v>
      </c>
      <c r="P39" s="22">
        <f t="shared" ref="P39" si="36">N39+(S39-Q39)</f>
        <v>-0.22759142577748653</v>
      </c>
      <c r="Q39" s="5">
        <v>-0.22512014486804888</v>
      </c>
      <c r="R39" s="5">
        <v>-0.24861589787715804</v>
      </c>
      <c r="S39" s="22">
        <v>-0.20162439185893971</v>
      </c>
      <c r="T39" s="6">
        <v>-3.4517667825063603E-2</v>
      </c>
      <c r="U39" s="5">
        <f t="shared" si="29"/>
        <v>-6.0783166336245489E-2</v>
      </c>
      <c r="V39" s="22">
        <f t="shared" si="30"/>
        <v>-8.2521693138817159E-3</v>
      </c>
      <c r="W39" s="6">
        <v>7.6928459560543939E-3</v>
      </c>
      <c r="X39" s="5">
        <f t="shared" si="31"/>
        <v>-1.8572652555127495E-2</v>
      </c>
      <c r="Y39" s="22">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2"/>
      <c r="E40" s="5"/>
      <c r="F40" s="5"/>
      <c r="G40" s="22"/>
      <c r="H40" s="6"/>
      <c r="I40" s="5"/>
      <c r="J40" s="22"/>
      <c r="K40" s="5"/>
      <c r="L40" s="5"/>
      <c r="M40" s="22"/>
      <c r="N40" s="6"/>
      <c r="O40" s="5"/>
      <c r="P40" s="22"/>
      <c r="Q40" s="5"/>
      <c r="R40" s="5"/>
      <c r="S40" s="22"/>
      <c r="T40" s="6"/>
      <c r="U40" s="5"/>
      <c r="V40" s="22"/>
      <c r="W40" s="10"/>
      <c r="X40" s="5"/>
      <c r="Y40" s="22"/>
      <c r="Z40" s="5"/>
      <c r="AA40" s="5"/>
      <c r="AB40" s="5"/>
      <c r="AC40" s="5"/>
      <c r="AD40" s="5"/>
      <c r="AE40" s="5"/>
      <c r="AF40" s="5"/>
      <c r="AG40" s="5"/>
      <c r="AH40" s="5"/>
      <c r="AI40" s="4">
        <v>0</v>
      </c>
    </row>
    <row r="41" spans="1:35" ht="18" customHeight="1" x14ac:dyDescent="0.3">
      <c r="A41" s="3">
        <f t="shared" si="0"/>
        <v>1990</v>
      </c>
      <c r="B41" s="6"/>
      <c r="C41" s="5"/>
      <c r="D41" s="22"/>
      <c r="E41" s="5"/>
      <c r="F41" s="5"/>
      <c r="G41" s="22"/>
      <c r="H41" s="6"/>
      <c r="I41" s="5"/>
      <c r="J41" s="22"/>
      <c r="K41" s="5"/>
      <c r="L41" s="5"/>
      <c r="M41" s="22"/>
      <c r="N41" s="6"/>
      <c r="O41" s="5"/>
      <c r="P41" s="22"/>
      <c r="Q41" s="5"/>
      <c r="R41" s="5"/>
      <c r="S41" s="22"/>
      <c r="T41" s="6"/>
      <c r="U41" s="5"/>
      <c r="V41" s="22"/>
      <c r="W41" s="10"/>
      <c r="X41" s="5"/>
      <c r="Y41" s="22"/>
      <c r="Z41" s="5"/>
      <c r="AA41" s="5"/>
      <c r="AB41" s="5"/>
      <c r="AC41" s="5"/>
      <c r="AD41" s="5"/>
      <c r="AE41" s="5"/>
      <c r="AF41" s="5"/>
      <c r="AG41" s="5"/>
      <c r="AH41" s="5"/>
      <c r="AI41" s="4">
        <v>0</v>
      </c>
    </row>
    <row r="42" spans="1:35" ht="18" customHeight="1" x14ac:dyDescent="0.3">
      <c r="A42" s="3">
        <f t="shared" si="0"/>
        <v>1991</v>
      </c>
      <c r="B42" s="6"/>
      <c r="C42" s="5"/>
      <c r="D42" s="22"/>
      <c r="E42" s="5"/>
      <c r="F42" s="5"/>
      <c r="G42" s="22"/>
      <c r="H42" s="6"/>
      <c r="I42" s="5"/>
      <c r="J42" s="22"/>
      <c r="K42" s="5"/>
      <c r="L42" s="5"/>
      <c r="M42" s="22"/>
      <c r="N42" s="6"/>
      <c r="O42" s="5"/>
      <c r="P42" s="22"/>
      <c r="Q42" s="5"/>
      <c r="R42" s="5"/>
      <c r="S42" s="22"/>
      <c r="T42" s="6"/>
      <c r="U42" s="5"/>
      <c r="V42" s="22"/>
      <c r="W42" s="10"/>
      <c r="X42" s="5"/>
      <c r="Y42" s="22"/>
      <c r="Z42" s="5"/>
      <c r="AA42" s="5"/>
      <c r="AB42" s="5"/>
      <c r="AC42" s="5"/>
      <c r="AD42" s="5"/>
      <c r="AE42" s="5"/>
      <c r="AF42" s="5"/>
      <c r="AG42" s="5"/>
      <c r="AH42" s="5"/>
      <c r="AI42" s="4">
        <v>0</v>
      </c>
    </row>
    <row r="43" spans="1:35" ht="18" customHeight="1" x14ac:dyDescent="0.3">
      <c r="A43" s="3">
        <f t="shared" si="0"/>
        <v>1992</v>
      </c>
      <c r="B43" s="6"/>
      <c r="C43" s="5"/>
      <c r="D43" s="22"/>
      <c r="E43" s="5"/>
      <c r="F43" s="5"/>
      <c r="G43" s="22"/>
      <c r="H43" s="6"/>
      <c r="I43" s="5"/>
      <c r="J43" s="22"/>
      <c r="K43" s="5"/>
      <c r="L43" s="5"/>
      <c r="M43" s="22"/>
      <c r="N43" s="6"/>
      <c r="O43" s="5"/>
      <c r="P43" s="22"/>
      <c r="Q43" s="5"/>
      <c r="R43" s="5"/>
      <c r="S43" s="22"/>
      <c r="T43" s="6"/>
      <c r="U43" s="5"/>
      <c r="V43" s="22"/>
      <c r="W43" s="10"/>
      <c r="X43" s="5"/>
      <c r="Y43" s="22"/>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2">
        <f t="shared" ref="D44:D46" si="39">B44+(G44-E44)</f>
        <v>0.10648679164417114</v>
      </c>
      <c r="E44" s="5">
        <v>9.9520455318155274E-2</v>
      </c>
      <c r="F44" s="5">
        <v>6.8364227384867832E-2</v>
      </c>
      <c r="G44" s="22">
        <v>0.13067668325144272</v>
      </c>
      <c r="H44" s="6">
        <v>-7.8271124098035993E-2</v>
      </c>
      <c r="I44" s="5">
        <f t="shared" ref="I44" si="40">H44+(L44-K44)</f>
        <v>-0.10691712745497778</v>
      </c>
      <c r="J44" s="22">
        <f t="shared" ref="J44" si="41">H44+(M44-K44)</f>
        <v>-4.9625120741094209E-2</v>
      </c>
      <c r="K44" s="5">
        <v>-0.12503114668549875</v>
      </c>
      <c r="L44" s="5">
        <v>-0.15367715004244054</v>
      </c>
      <c r="M44" s="22">
        <v>-9.6385143328556966E-2</v>
      </c>
      <c r="N44" s="6">
        <v>-0.18142320050133598</v>
      </c>
      <c r="O44" s="5">
        <f t="shared" ref="O44" si="42">N44+(R44-Q44)</f>
        <v>-0.20627306737791259</v>
      </c>
      <c r="P44" s="22">
        <f t="shared" ref="P44" si="43">N44+(S44-Q44)</f>
        <v>-0.15657333362475942</v>
      </c>
      <c r="Q44" s="5">
        <v>-0.19066479827624508</v>
      </c>
      <c r="R44" s="5">
        <v>-0.21551466515282169</v>
      </c>
      <c r="S44" s="22">
        <v>-0.16581493139966852</v>
      </c>
      <c r="T44" s="6">
        <v>5.0383728387124405E-2</v>
      </c>
      <c r="U44" s="5">
        <f t="shared" ref="U44:U48" si="44">T44+($C44-$B44)</f>
        <v>1.9227500453836963E-2</v>
      </c>
      <c r="V44" s="22">
        <f t="shared" ref="V44:V48" si="45">T44+($D44-$B44)</f>
        <v>8.1539956320411847E-2</v>
      </c>
      <c r="W44" s="6">
        <v>8.0805056053531416E-2</v>
      </c>
      <c r="X44" s="5">
        <f t="shared" ref="X44:X46" si="46">W44+($C44-$B44)</f>
        <v>4.9648828120243974E-2</v>
      </c>
      <c r="Y44" s="22">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2"/>
      <c r="E45" s="5"/>
      <c r="F45" s="5"/>
      <c r="G45" s="22"/>
      <c r="H45" s="6"/>
      <c r="I45" s="5"/>
      <c r="J45" s="22"/>
      <c r="K45" s="5"/>
      <c r="L45" s="5"/>
      <c r="M45" s="22"/>
      <c r="N45" s="6"/>
      <c r="O45" s="5"/>
      <c r="P45" s="22"/>
      <c r="Q45" s="5"/>
      <c r="R45" s="5"/>
      <c r="S45" s="22"/>
      <c r="T45" s="6"/>
      <c r="U45" s="5"/>
      <c r="V45" s="22"/>
      <c r="W45" s="6"/>
      <c r="X45" s="5"/>
      <c r="Y45" s="22"/>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2">
        <f t="shared" si="39"/>
        <v>7.6521343435495673E-2</v>
      </c>
      <c r="E46" s="5">
        <v>8.4843068882572134E-2</v>
      </c>
      <c r="F46" s="5">
        <v>5.844180327770368E-2</v>
      </c>
      <c r="G46" s="22">
        <v>0.11124433448744059</v>
      </c>
      <c r="H46" s="6">
        <v>-0.11361239022678798</v>
      </c>
      <c r="I46" s="5">
        <f t="shared" ref="I46" si="48">H46+(L46-K46)</f>
        <v>-0.14002085867179351</v>
      </c>
      <c r="J46" s="22">
        <f t="shared" ref="J46" si="49">H46+(M46-K46)</f>
        <v>-8.7203921781782462E-2</v>
      </c>
      <c r="K46" s="5">
        <v>-0.15742045833126064</v>
      </c>
      <c r="L46" s="5">
        <v>-0.18382892677626617</v>
      </c>
      <c r="M46" s="22">
        <v>-0.13101198988625512</v>
      </c>
      <c r="N46" s="6">
        <v>-0.21165316634707976</v>
      </c>
      <c r="O46" s="5">
        <f t="shared" ref="O46" si="50">N46+(R46-Q46)</f>
        <v>-0.2355435168451272</v>
      </c>
      <c r="P46" s="22">
        <f t="shared" ref="P46" si="51">N46+(S46-Q46)</f>
        <v>-0.18776281584903232</v>
      </c>
      <c r="Q46" s="5">
        <v>-0.21602125919038262</v>
      </c>
      <c r="R46" s="5">
        <v>-0.23991160968843006</v>
      </c>
      <c r="S46" s="22">
        <v>-0.19213090869233518</v>
      </c>
      <c r="T46" s="6">
        <v>2.3673499917834517E-2</v>
      </c>
      <c r="U46" s="5">
        <f t="shared" si="44"/>
        <v>-2.7277656870339367E-3</v>
      </c>
      <c r="V46" s="22">
        <f t="shared" si="45"/>
        <v>5.0074765522702971E-2</v>
      </c>
      <c r="W46" s="6">
        <v>6.2946246936601724E-2</v>
      </c>
      <c r="X46" s="5">
        <f t="shared" si="46"/>
        <v>3.654498133173327E-2</v>
      </c>
      <c r="Y46" s="22">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2"/>
      <c r="E47" s="5"/>
      <c r="F47" s="5"/>
      <c r="G47" s="22"/>
      <c r="H47" s="6"/>
      <c r="I47" s="5"/>
      <c r="J47" s="22"/>
      <c r="K47" s="5"/>
      <c r="L47" s="5"/>
      <c r="M47" s="22"/>
      <c r="N47" s="6"/>
      <c r="O47" s="5"/>
      <c r="P47" s="22"/>
      <c r="Q47" s="5"/>
      <c r="R47" s="5"/>
      <c r="S47" s="22"/>
      <c r="T47" s="6"/>
      <c r="U47" s="5"/>
      <c r="V47" s="22"/>
      <c r="W47" s="6"/>
      <c r="X47" s="5"/>
      <c r="Y47" s="22"/>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2">
        <f>B48+(G46-E46)</f>
        <v>8.0458105031970914E-2</v>
      </c>
      <c r="E48" s="5"/>
      <c r="F48" s="5"/>
      <c r="G48" s="22"/>
      <c r="H48" s="6"/>
      <c r="I48" s="5"/>
      <c r="J48" s="22"/>
      <c r="K48" s="5"/>
      <c r="L48" s="5"/>
      <c r="M48" s="22"/>
      <c r="N48" s="6"/>
      <c r="O48" s="5"/>
      <c r="P48" s="22"/>
      <c r="Q48" s="5"/>
      <c r="R48" s="5"/>
      <c r="S48" s="22"/>
      <c r="T48" s="6">
        <v>1.9250571046965037E-2</v>
      </c>
      <c r="U48" s="5">
        <f t="shared" si="44"/>
        <v>-7.150694557903417E-3</v>
      </c>
      <c r="V48" s="22">
        <f t="shared" si="45"/>
        <v>4.5651836651833491E-2</v>
      </c>
      <c r="W48" s="6"/>
      <c r="X48" s="5"/>
      <c r="Y48" s="22"/>
      <c r="Z48" s="5"/>
      <c r="AA48" s="5"/>
      <c r="AB48" s="5"/>
      <c r="AC48" s="5"/>
      <c r="AD48" s="5"/>
      <c r="AE48" s="5"/>
      <c r="AF48" s="5"/>
      <c r="AG48" s="5"/>
      <c r="AH48" s="5"/>
      <c r="AI48" s="4">
        <v>0</v>
      </c>
    </row>
    <row r="49" spans="1:35" ht="18" customHeight="1" x14ac:dyDescent="0.3">
      <c r="A49" s="3">
        <f t="shared" si="0"/>
        <v>1998</v>
      </c>
      <c r="B49" s="6"/>
      <c r="C49" s="5"/>
      <c r="D49" s="22"/>
      <c r="E49" s="5"/>
      <c r="F49" s="5"/>
      <c r="G49" s="22"/>
      <c r="H49" s="6"/>
      <c r="I49" s="5"/>
      <c r="J49" s="22"/>
      <c r="K49" s="5"/>
      <c r="L49" s="5"/>
      <c r="M49" s="22"/>
      <c r="N49" s="6"/>
      <c r="O49" s="5"/>
      <c r="P49" s="22"/>
      <c r="Q49" s="9"/>
      <c r="R49" s="9"/>
      <c r="S49" s="23"/>
      <c r="T49" s="6"/>
      <c r="U49" s="5"/>
      <c r="V49" s="22"/>
      <c r="W49" s="10"/>
      <c r="X49" s="5"/>
      <c r="Y49" s="22"/>
      <c r="Z49" s="9"/>
      <c r="AA49" s="9"/>
      <c r="AB49" s="9"/>
      <c r="AC49" s="9"/>
      <c r="AD49" s="9"/>
      <c r="AE49" s="9"/>
      <c r="AF49" s="9"/>
      <c r="AG49" s="9"/>
      <c r="AH49" s="9"/>
      <c r="AI49" s="4">
        <v>0</v>
      </c>
    </row>
    <row r="50" spans="1:35" ht="18" customHeight="1" x14ac:dyDescent="0.3">
      <c r="A50" s="3">
        <f t="shared" si="0"/>
        <v>1999</v>
      </c>
      <c r="B50" s="6"/>
      <c r="C50" s="5"/>
      <c r="D50" s="22"/>
      <c r="E50" s="5"/>
      <c r="F50" s="5"/>
      <c r="G50" s="22"/>
      <c r="H50" s="6"/>
      <c r="I50" s="5"/>
      <c r="J50" s="22"/>
      <c r="K50" s="5"/>
      <c r="L50" s="5"/>
      <c r="M50" s="22"/>
      <c r="N50" s="6"/>
      <c r="O50" s="5"/>
      <c r="P50" s="22"/>
      <c r="Q50" s="5"/>
      <c r="R50" s="5"/>
      <c r="S50" s="22"/>
      <c r="T50" s="6"/>
      <c r="U50" s="5"/>
      <c r="V50" s="22"/>
      <c r="W50" s="10"/>
      <c r="X50" s="5"/>
      <c r="Y50" s="22"/>
      <c r="Z50" s="5"/>
      <c r="AA50" s="5"/>
      <c r="AB50" s="5"/>
      <c r="AC50" s="5"/>
      <c r="AD50" s="5"/>
      <c r="AE50" s="5"/>
      <c r="AF50" s="5"/>
      <c r="AG50" s="5"/>
      <c r="AH50" s="5"/>
      <c r="AI50" s="4">
        <v>0</v>
      </c>
    </row>
    <row r="51" spans="1:35" ht="18" customHeight="1" x14ac:dyDescent="0.3">
      <c r="A51" s="3">
        <f t="shared" si="0"/>
        <v>2000</v>
      </c>
      <c r="B51" s="6"/>
      <c r="C51" s="5"/>
      <c r="D51" s="22"/>
      <c r="E51" s="5"/>
      <c r="F51" s="5"/>
      <c r="G51" s="22"/>
      <c r="H51" s="6"/>
      <c r="I51" s="5"/>
      <c r="J51" s="22"/>
      <c r="K51" s="5"/>
      <c r="L51" s="5"/>
      <c r="M51" s="22"/>
      <c r="N51" s="6"/>
      <c r="O51" s="5"/>
      <c r="P51" s="22"/>
      <c r="Q51" s="5"/>
      <c r="R51" s="5"/>
      <c r="S51" s="22"/>
      <c r="T51" s="6"/>
      <c r="U51" s="5"/>
      <c r="V51" s="22"/>
      <c r="W51" s="10"/>
      <c r="X51" s="5"/>
      <c r="Y51" s="22"/>
      <c r="Z51" s="5"/>
      <c r="AA51" s="5"/>
      <c r="AB51" s="5"/>
      <c r="AC51" s="5"/>
      <c r="AD51" s="5"/>
      <c r="AE51" s="5"/>
      <c r="AF51" s="5"/>
      <c r="AG51" s="5"/>
      <c r="AH51" s="5"/>
      <c r="AI51" s="4">
        <v>0</v>
      </c>
    </row>
    <row r="52" spans="1:35" ht="18" customHeight="1" x14ac:dyDescent="0.3">
      <c r="A52" s="3">
        <f t="shared" si="0"/>
        <v>2001</v>
      </c>
      <c r="B52" s="6"/>
      <c r="C52" s="5"/>
      <c r="D52" s="22"/>
      <c r="E52" s="5"/>
      <c r="F52" s="5"/>
      <c r="G52" s="22"/>
      <c r="H52" s="6"/>
      <c r="I52" s="5"/>
      <c r="J52" s="22"/>
      <c r="K52" s="5"/>
      <c r="L52" s="5"/>
      <c r="M52" s="22"/>
      <c r="N52" s="6"/>
      <c r="O52" s="5"/>
      <c r="P52" s="22"/>
      <c r="Q52" s="5"/>
      <c r="R52" s="5"/>
      <c r="S52" s="22"/>
      <c r="T52" s="6"/>
      <c r="U52" s="5"/>
      <c r="V52" s="22"/>
      <c r="W52" s="10"/>
      <c r="X52" s="5"/>
      <c r="Y52" s="22"/>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2">
        <f t="shared" ref="D53" si="54">B53+(G53-E53)</f>
        <v>0.11808558665758243</v>
      </c>
      <c r="E53" s="5">
        <v>8.1818207916493482E-2</v>
      </c>
      <c r="F53" s="5">
        <v>5.7215876930579099E-2</v>
      </c>
      <c r="G53" s="22">
        <v>0.10642053890240787</v>
      </c>
      <c r="H53" s="6">
        <v>-2.9795222812228683E-2</v>
      </c>
      <c r="I53" s="5">
        <f t="shared" ref="I53" si="55">H53+(L53-K53)</f>
        <v>-5.5130034611171899E-2</v>
      </c>
      <c r="J53" s="22">
        <f t="shared" ref="J53" si="56">H53+(M53-K53)</f>
        <v>-4.4604110132854674E-3</v>
      </c>
      <c r="K53" s="5">
        <v>-6.9590645196559858E-2</v>
      </c>
      <c r="L53" s="5">
        <v>-9.4925456995503074E-2</v>
      </c>
      <c r="M53" s="22">
        <v>-4.4255833397616642E-2</v>
      </c>
      <c r="N53" s="6">
        <v>-0.14835984508196509</v>
      </c>
      <c r="O53" s="5">
        <f t="shared" ref="O53" si="57">N53+(R53-Q53)</f>
        <v>-0.17499615386038309</v>
      </c>
      <c r="P53" s="22">
        <f t="shared" ref="P53" si="58">N53+(S53-Q53)</f>
        <v>-0.1217235363035481</v>
      </c>
      <c r="Q53" s="5">
        <v>-0.148631058982273</v>
      </c>
      <c r="R53" s="5">
        <v>-0.17526736776069099</v>
      </c>
      <c r="S53" s="22">
        <v>-0.121994750203856</v>
      </c>
      <c r="T53" s="6">
        <v>9.8215809674401244E-2</v>
      </c>
      <c r="U53" s="5">
        <f t="shared" ref="U53" si="59">T53+($C53-$B53)</f>
        <v>7.3613478688486861E-2</v>
      </c>
      <c r="V53" s="22">
        <f t="shared" ref="V53" si="60">T53+($D53-$B53)</f>
        <v>0.12281814066031563</v>
      </c>
      <c r="W53" s="6">
        <v>7.6713763160431284E-2</v>
      </c>
      <c r="X53" s="5">
        <f t="shared" ref="X53" si="61">W53+($C53-$B53)</f>
        <v>5.21114321745169E-2</v>
      </c>
      <c r="Y53" s="22">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2"/>
      <c r="E54" s="5"/>
      <c r="F54" s="5"/>
      <c r="G54" s="22"/>
      <c r="H54" s="6"/>
      <c r="I54" s="5"/>
      <c r="J54" s="22"/>
      <c r="K54" s="5"/>
      <c r="L54" s="5"/>
      <c r="M54" s="22"/>
      <c r="N54" s="6"/>
      <c r="O54" s="5"/>
      <c r="P54" s="22"/>
      <c r="Q54" s="5"/>
      <c r="R54" s="5"/>
      <c r="S54" s="22"/>
      <c r="T54" s="6"/>
      <c r="U54" s="5"/>
      <c r="V54" s="22"/>
      <c r="W54" s="10"/>
      <c r="X54" s="5"/>
      <c r="Y54" s="22"/>
      <c r="Z54" s="5"/>
      <c r="AA54" s="5"/>
      <c r="AB54" s="5"/>
      <c r="AC54" s="5"/>
      <c r="AD54" s="5"/>
      <c r="AE54" s="5"/>
      <c r="AF54" s="5"/>
      <c r="AG54" s="5"/>
      <c r="AH54" s="5"/>
      <c r="AI54" s="4">
        <v>0</v>
      </c>
    </row>
    <row r="55" spans="1:35" ht="18" customHeight="1" x14ac:dyDescent="0.3">
      <c r="A55" s="3">
        <f t="shared" si="0"/>
        <v>2004</v>
      </c>
      <c r="B55" s="6"/>
      <c r="C55" s="5"/>
      <c r="D55" s="22"/>
      <c r="E55" s="5"/>
      <c r="F55" s="5"/>
      <c r="G55" s="22"/>
      <c r="H55" s="6"/>
      <c r="I55" s="5"/>
      <c r="J55" s="22"/>
      <c r="K55" s="5"/>
      <c r="L55" s="5"/>
      <c r="M55" s="22"/>
      <c r="N55" s="6"/>
      <c r="O55" s="5"/>
      <c r="P55" s="22"/>
      <c r="Q55" s="5"/>
      <c r="R55" s="5"/>
      <c r="S55" s="22"/>
      <c r="T55" s="6"/>
      <c r="U55" s="5"/>
      <c r="V55" s="22"/>
      <c r="W55" s="10"/>
      <c r="X55" s="5"/>
      <c r="Y55" s="22"/>
      <c r="Z55" s="5"/>
      <c r="AA55" s="5"/>
      <c r="AB55" s="5"/>
      <c r="AC55" s="5"/>
      <c r="AD55" s="5"/>
      <c r="AE55" s="5"/>
      <c r="AF55" s="5"/>
      <c r="AG55" s="5"/>
      <c r="AH55" s="5"/>
      <c r="AI55" s="4">
        <v>0</v>
      </c>
    </row>
    <row r="56" spans="1:35" ht="18" customHeight="1" x14ac:dyDescent="0.3">
      <c r="A56" s="3">
        <f t="shared" si="0"/>
        <v>2005</v>
      </c>
      <c r="B56" s="6"/>
      <c r="C56" s="5"/>
      <c r="D56" s="22"/>
      <c r="E56" s="5"/>
      <c r="F56" s="5"/>
      <c r="G56" s="22"/>
      <c r="H56" s="6"/>
      <c r="I56" s="5"/>
      <c r="J56" s="22"/>
      <c r="K56" s="5"/>
      <c r="L56" s="5"/>
      <c r="M56" s="22"/>
      <c r="N56" s="6"/>
      <c r="O56" s="5"/>
      <c r="P56" s="22"/>
      <c r="Q56" s="5"/>
      <c r="R56" s="5"/>
      <c r="S56" s="22"/>
      <c r="T56" s="6"/>
      <c r="U56" s="5"/>
      <c r="V56" s="22"/>
      <c r="W56" s="10"/>
      <c r="X56" s="5"/>
      <c r="Y56" s="22"/>
      <c r="Z56" s="5"/>
      <c r="AA56" s="5"/>
      <c r="AB56" s="5"/>
      <c r="AC56" s="5"/>
      <c r="AD56" s="5"/>
      <c r="AE56" s="5"/>
      <c r="AF56" s="5"/>
      <c r="AG56" s="5"/>
      <c r="AH56" s="5"/>
      <c r="AI56" s="4">
        <v>0</v>
      </c>
    </row>
    <row r="57" spans="1:35" ht="18" customHeight="1" x14ac:dyDescent="0.3">
      <c r="A57" s="3">
        <f t="shared" si="0"/>
        <v>2006</v>
      </c>
      <c r="B57" s="6"/>
      <c r="C57" s="5"/>
      <c r="D57" s="22"/>
      <c r="E57" s="5"/>
      <c r="F57" s="5"/>
      <c r="G57" s="22"/>
      <c r="H57" s="6"/>
      <c r="I57" s="5"/>
      <c r="J57" s="22"/>
      <c r="K57" s="5"/>
      <c r="L57" s="5"/>
      <c r="M57" s="22"/>
      <c r="N57" s="6"/>
      <c r="O57" s="5"/>
      <c r="P57" s="22"/>
      <c r="Q57" s="5"/>
      <c r="R57" s="5"/>
      <c r="S57" s="22"/>
      <c r="T57" s="6"/>
      <c r="U57" s="5"/>
      <c r="V57" s="22"/>
      <c r="W57" s="10"/>
      <c r="X57" s="5"/>
      <c r="Y57" s="22"/>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2">
        <f t="shared" ref="D58" si="64">B58+(G58-E58)</f>
        <v>0.14810312705380196</v>
      </c>
      <c r="E58" s="5">
        <v>0.11651276864743246</v>
      </c>
      <c r="F58" s="5">
        <v>8.9616851940772443E-2</v>
      </c>
      <c r="G58" s="22">
        <v>0.14340868535409246</v>
      </c>
      <c r="H58" s="6">
        <v>-4.8875348435507893E-2</v>
      </c>
      <c r="I58" s="5">
        <f t="shared" ref="I58" si="65">H58+(L58-K58)</f>
        <v>-7.4210160234451095E-2</v>
      </c>
      <c r="J58" s="22">
        <f t="shared" ref="J58" si="66">H58+(M58-K58)</f>
        <v>-2.3540536636564677E-2</v>
      </c>
      <c r="K58" s="5">
        <v>-9.9894887958045631E-2</v>
      </c>
      <c r="L58" s="5">
        <v>-0.12522969975698883</v>
      </c>
      <c r="M58" s="22">
        <v>-7.4560076159102415E-2</v>
      </c>
      <c r="N58" s="6">
        <v>-0.1340899360179901</v>
      </c>
      <c r="O58" s="5">
        <f t="shared" ref="O58" si="67">N58+(R58-Q58)</f>
        <v>-0.1568937359203661</v>
      </c>
      <c r="P58" s="22">
        <f t="shared" ref="P58" si="68">N58+(S58-Q58)</f>
        <v>-0.1012861361156131</v>
      </c>
      <c r="Q58" s="5">
        <v>-0.163396319341133</v>
      </c>
      <c r="R58" s="5">
        <v>-0.18620011924350899</v>
      </c>
      <c r="S58" s="22">
        <v>-0.13059251943875599</v>
      </c>
      <c r="T58" s="6">
        <v>0.10883693272687311</v>
      </c>
      <c r="U58" s="5">
        <f t="shared" ref="U58" si="69">T58+($C58-$B58)</f>
        <v>8.19410160202131E-2</v>
      </c>
      <c r="V58" s="22">
        <f t="shared" ref="V58" si="70">T58+($D58-$B58)</f>
        <v>0.13573284943353314</v>
      </c>
      <c r="W58" s="6">
        <v>0.10235620868197158</v>
      </c>
      <c r="X58" s="5">
        <f t="shared" ref="X58" si="71">W58+($C58-$B58)</f>
        <v>7.5460291975311566E-2</v>
      </c>
      <c r="Y58" s="22">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2"/>
      <c r="E59" s="5"/>
      <c r="F59" s="5"/>
      <c r="G59" s="22"/>
      <c r="H59" s="6"/>
      <c r="I59" s="5"/>
      <c r="J59" s="22"/>
      <c r="K59" s="5"/>
      <c r="L59" s="5"/>
      <c r="M59" s="22"/>
      <c r="N59" s="6"/>
      <c r="O59" s="5"/>
      <c r="P59" s="22"/>
      <c r="Q59" s="5"/>
      <c r="R59" s="5"/>
      <c r="S59" s="22"/>
      <c r="T59" s="6"/>
      <c r="U59" s="5"/>
      <c r="V59" s="22"/>
      <c r="W59" s="62"/>
      <c r="X59" s="5"/>
      <c r="Y59" s="22"/>
      <c r="Z59" s="5"/>
      <c r="AA59" s="5"/>
      <c r="AB59" s="5"/>
      <c r="AC59" s="5"/>
      <c r="AD59" s="5"/>
      <c r="AE59" s="5"/>
      <c r="AF59" s="5"/>
      <c r="AG59" s="5"/>
      <c r="AH59" s="5"/>
      <c r="AI59" s="4">
        <v>0</v>
      </c>
    </row>
    <row r="60" spans="1:35" ht="18" customHeight="1" x14ac:dyDescent="0.3">
      <c r="A60" s="3">
        <f t="shared" si="0"/>
        <v>2009</v>
      </c>
      <c r="B60" s="6"/>
      <c r="C60" s="5"/>
      <c r="D60" s="22"/>
      <c r="E60" s="5"/>
      <c r="F60" s="5"/>
      <c r="G60" s="22"/>
      <c r="H60" s="6"/>
      <c r="I60" s="5"/>
      <c r="J60" s="22"/>
      <c r="K60" s="5"/>
      <c r="L60" s="5"/>
      <c r="M60" s="22"/>
      <c r="N60" s="6"/>
      <c r="O60" s="5"/>
      <c r="P60" s="22"/>
      <c r="Q60" s="5"/>
      <c r="R60" s="5"/>
      <c r="S60" s="22"/>
      <c r="T60" s="6"/>
      <c r="U60" s="5"/>
      <c r="V60" s="22"/>
      <c r="W60" s="62"/>
      <c r="X60" s="5"/>
      <c r="Y60" s="22"/>
      <c r="Z60" s="5"/>
      <c r="AA60" s="5"/>
      <c r="AB60" s="5"/>
      <c r="AC60" s="5"/>
      <c r="AD60" s="5"/>
      <c r="AE60" s="5"/>
      <c r="AF60" s="5"/>
      <c r="AG60" s="5"/>
      <c r="AH60" s="5"/>
      <c r="AI60" s="4">
        <v>0</v>
      </c>
    </row>
    <row r="61" spans="1:35" ht="18" customHeight="1" x14ac:dyDescent="0.3">
      <c r="A61" s="3">
        <f t="shared" si="0"/>
        <v>2010</v>
      </c>
      <c r="B61" s="6"/>
      <c r="C61" s="5"/>
      <c r="D61" s="22"/>
      <c r="E61" s="5"/>
      <c r="F61" s="5"/>
      <c r="G61" s="22"/>
      <c r="H61" s="6"/>
      <c r="I61" s="5"/>
      <c r="J61" s="22"/>
      <c r="K61" s="5"/>
      <c r="L61" s="5"/>
      <c r="M61" s="22"/>
      <c r="N61" s="6"/>
      <c r="O61" s="5"/>
      <c r="P61" s="22"/>
      <c r="Q61" s="5"/>
      <c r="R61" s="5"/>
      <c r="S61" s="22"/>
      <c r="T61" s="6"/>
      <c r="U61" s="5"/>
      <c r="V61" s="22"/>
      <c r="W61" s="62"/>
      <c r="X61" s="5"/>
      <c r="Y61" s="22"/>
      <c r="Z61" s="5"/>
      <c r="AA61" s="5"/>
      <c r="AB61" s="5"/>
      <c r="AC61" s="5"/>
      <c r="AD61" s="5"/>
      <c r="AE61" s="5"/>
      <c r="AF61" s="5"/>
      <c r="AG61" s="5"/>
      <c r="AH61" s="5"/>
      <c r="AI61" s="4">
        <v>0</v>
      </c>
    </row>
    <row r="62" spans="1:35" ht="18" customHeight="1" x14ac:dyDescent="0.3">
      <c r="A62" s="3">
        <f t="shared" si="0"/>
        <v>2011</v>
      </c>
      <c r="B62" s="6"/>
      <c r="C62" s="5"/>
      <c r="D62" s="22"/>
      <c r="E62" s="5"/>
      <c r="F62" s="5"/>
      <c r="G62" s="22"/>
      <c r="H62" s="6"/>
      <c r="I62" s="5"/>
      <c r="J62" s="22"/>
      <c r="K62" s="5"/>
      <c r="L62" s="5"/>
      <c r="M62" s="22"/>
      <c r="N62" s="6"/>
      <c r="O62" s="5"/>
      <c r="P62" s="22"/>
      <c r="Q62" s="5"/>
      <c r="R62" s="5"/>
      <c r="S62" s="22"/>
      <c r="T62" s="6"/>
      <c r="U62" s="5"/>
      <c r="V62" s="22"/>
      <c r="W62" s="62"/>
      <c r="X62" s="5"/>
      <c r="Y62" s="22"/>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2">
        <f t="shared" ref="D63" si="74">B63+(G63-E63)</f>
        <v>0.11804580438209854</v>
      </c>
      <c r="E63" s="5">
        <v>0.11928701358374189</v>
      </c>
      <c r="F63" s="5">
        <v>8.8939412412408395E-2</v>
      </c>
      <c r="G63" s="22">
        <v>0.14963461475507539</v>
      </c>
      <c r="H63" s="6">
        <v>-5.6030390991104961E-2</v>
      </c>
      <c r="I63" s="5">
        <f t="shared" ref="I63" si="75">H63+(L63-K63)</f>
        <v>-9.185740746589563E-2</v>
      </c>
      <c r="J63" s="22">
        <f t="shared" ref="J63" si="76">H63+(M63-K63)</f>
        <v>-2.0203374516314279E-2</v>
      </c>
      <c r="K63" s="5">
        <v>-0.10151981887575875</v>
      </c>
      <c r="L63" s="5">
        <v>-0.13734683535054942</v>
      </c>
      <c r="M63" s="22">
        <v>-6.5692802400968073E-2</v>
      </c>
      <c r="N63" s="6">
        <v>-0.16057804392443764</v>
      </c>
      <c r="O63" s="5">
        <f t="shared" ref="O63" si="77">N63+(R63-Q63)</f>
        <v>-0.19353866651497439</v>
      </c>
      <c r="P63" s="22">
        <f t="shared" ref="P63" si="78">N63+(S63-Q63)</f>
        <v>-0.12761742133390089</v>
      </c>
      <c r="Q63" s="5">
        <v>-0.18430978542503548</v>
      </c>
      <c r="R63" s="5">
        <v>-0.21727040801557224</v>
      </c>
      <c r="S63" s="22">
        <v>-0.15134916283449873</v>
      </c>
      <c r="T63" s="6">
        <v>7.5870646480507675E-2</v>
      </c>
      <c r="U63" s="5">
        <f t="shared" ref="U63" si="79">T63+($C63-$B63)</f>
        <v>4.5523045309174184E-2</v>
      </c>
      <c r="V63" s="22">
        <f t="shared" ref="V63" si="80">T63+($D63-$B63)</f>
        <v>0.10621824765184118</v>
      </c>
      <c r="W63" s="6">
        <v>0.12381033826337037</v>
      </c>
      <c r="X63" s="5">
        <f t="shared" ref="X63" si="81">W63+($C63-$B63)</f>
        <v>9.3462737092036882E-2</v>
      </c>
      <c r="Y63" s="22">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2"/>
      <c r="E64" s="5"/>
      <c r="F64" s="5"/>
      <c r="G64" s="22"/>
      <c r="H64" s="6"/>
      <c r="I64" s="5"/>
      <c r="J64" s="22"/>
      <c r="K64" s="5"/>
      <c r="L64" s="5"/>
      <c r="M64" s="22"/>
      <c r="N64" s="6"/>
      <c r="O64" s="5"/>
      <c r="P64" s="22"/>
      <c r="Q64" s="5"/>
      <c r="R64" s="5"/>
      <c r="S64" s="22"/>
      <c r="T64" s="6"/>
      <c r="U64" s="5"/>
      <c r="V64" s="22"/>
      <c r="W64" s="62"/>
      <c r="X64" s="5"/>
      <c r="Y64" s="22"/>
      <c r="Z64" s="5"/>
      <c r="AA64" s="5"/>
      <c r="AB64" s="5"/>
      <c r="AC64" s="5"/>
      <c r="AD64" s="5"/>
      <c r="AE64" s="5"/>
      <c r="AF64" s="5"/>
      <c r="AG64" s="5"/>
      <c r="AH64" s="5"/>
      <c r="AI64" s="4">
        <v>0</v>
      </c>
    </row>
    <row r="65" spans="1:35" ht="18" customHeight="1" x14ac:dyDescent="0.3">
      <c r="A65" s="3">
        <f t="shared" si="0"/>
        <v>2014</v>
      </c>
      <c r="B65" s="6"/>
      <c r="C65" s="5"/>
      <c r="D65" s="22"/>
      <c r="E65" s="5"/>
      <c r="F65" s="5"/>
      <c r="G65" s="22"/>
      <c r="H65" s="6"/>
      <c r="I65" s="5"/>
      <c r="J65" s="22"/>
      <c r="K65" s="5"/>
      <c r="L65" s="5"/>
      <c r="M65" s="22"/>
      <c r="N65" s="6"/>
      <c r="O65" s="5"/>
      <c r="P65" s="22"/>
      <c r="Q65" s="5"/>
      <c r="R65" s="5"/>
      <c r="S65" s="22"/>
      <c r="T65" s="6"/>
      <c r="U65" s="5"/>
      <c r="V65" s="22"/>
      <c r="W65" s="62"/>
      <c r="X65" s="5"/>
      <c r="Y65" s="22"/>
      <c r="Z65" s="5"/>
      <c r="AA65" s="5"/>
      <c r="AB65" s="5"/>
      <c r="AC65" s="5"/>
      <c r="AD65" s="5"/>
      <c r="AE65" s="5"/>
      <c r="AF65" s="5"/>
      <c r="AG65" s="5"/>
      <c r="AH65" s="5"/>
      <c r="AI65" s="4">
        <v>0</v>
      </c>
    </row>
    <row r="66" spans="1:35" ht="18" customHeight="1" x14ac:dyDescent="0.3">
      <c r="A66" s="3">
        <f t="shared" si="0"/>
        <v>2015</v>
      </c>
      <c r="B66" s="6"/>
      <c r="C66" s="5"/>
      <c r="D66" s="22"/>
      <c r="E66" s="5"/>
      <c r="F66" s="5"/>
      <c r="G66" s="22"/>
      <c r="H66" s="6"/>
      <c r="I66" s="5"/>
      <c r="J66" s="22"/>
      <c r="K66" s="5"/>
      <c r="L66" s="5"/>
      <c r="M66" s="22"/>
      <c r="N66" s="6"/>
      <c r="O66" s="5"/>
      <c r="P66" s="22"/>
      <c r="Q66" s="5"/>
      <c r="R66" s="5"/>
      <c r="S66" s="22"/>
      <c r="T66" s="6"/>
      <c r="U66" s="5"/>
      <c r="V66" s="22"/>
      <c r="W66" s="62"/>
      <c r="X66" s="5"/>
      <c r="Y66" s="22"/>
      <c r="Z66" s="5"/>
      <c r="AA66" s="5"/>
      <c r="AB66" s="5"/>
      <c r="AC66" s="5"/>
      <c r="AD66" s="5"/>
      <c r="AE66" s="5"/>
      <c r="AF66" s="5"/>
      <c r="AG66" s="5"/>
      <c r="AH66" s="5"/>
      <c r="AI66" s="4">
        <v>0</v>
      </c>
    </row>
    <row r="67" spans="1:35" ht="18" customHeight="1" x14ac:dyDescent="0.3">
      <c r="A67" s="3">
        <f t="shared" si="0"/>
        <v>2016</v>
      </c>
      <c r="B67" s="6"/>
      <c r="C67" s="5"/>
      <c r="D67" s="22"/>
      <c r="E67" s="5"/>
      <c r="F67" s="5"/>
      <c r="G67" s="22"/>
      <c r="H67" s="6"/>
      <c r="I67" s="5"/>
      <c r="J67" s="22"/>
      <c r="K67" s="5"/>
      <c r="L67" s="5"/>
      <c r="M67" s="22"/>
      <c r="N67" s="6"/>
      <c r="O67" s="5"/>
      <c r="P67" s="22"/>
      <c r="Q67" s="5"/>
      <c r="R67" s="5"/>
      <c r="S67" s="22"/>
      <c r="T67" s="6"/>
      <c r="U67" s="5"/>
      <c r="V67" s="22"/>
      <c r="W67" s="62"/>
      <c r="X67" s="5"/>
      <c r="Y67" s="22"/>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2">
        <f t="shared" ref="D68" si="84">B68+(G68-E68)</f>
        <v>0.14511240083712626</v>
      </c>
      <c r="E68" s="5">
        <v>0.14667618271476765</v>
      </c>
      <c r="F68" s="5">
        <v>0.11978026600810762</v>
      </c>
      <c r="G68" s="22">
        <v>0.17357209942142768</v>
      </c>
      <c r="H68" s="6">
        <v>3.3333333333333437E-2</v>
      </c>
      <c r="I68" s="5">
        <f t="shared" ref="I68" si="85">H68+(L68-K68)</f>
        <v>7.9985215343902211E-3</v>
      </c>
      <c r="J68" s="22">
        <f t="shared" ref="J68" si="86">H68+(M68-K68)</f>
        <v>5.8668145132276653E-2</v>
      </c>
      <c r="K68" s="5">
        <v>-1.3999465097281671E-2</v>
      </c>
      <c r="L68" s="5">
        <v>-3.9334276896224887E-2</v>
      </c>
      <c r="M68" s="22">
        <v>1.1335346701661544E-2</v>
      </c>
      <c r="N68" s="6">
        <v>-7.1214319599999243E-2</v>
      </c>
      <c r="O68" s="5">
        <f t="shared" ref="O68" si="87">N68+(R68-Q68)</f>
        <v>-9.4018119502376027E-2</v>
      </c>
      <c r="P68" s="22">
        <f t="shared" ref="P68" si="88">N68+(S68-Q68)</f>
        <v>-4.8410519697622487E-2</v>
      </c>
      <c r="Q68" s="5">
        <v>-8.6804275041445347E-2</v>
      </c>
      <c r="R68" s="5">
        <v>-0.10960807494382213</v>
      </c>
      <c r="S68" s="22">
        <v>-6.4000475139068591E-2</v>
      </c>
      <c r="T68" s="6">
        <v>9.6388927400208879E-2</v>
      </c>
      <c r="U68" s="5">
        <f t="shared" ref="U68" si="89">T68+($C68-$B68)</f>
        <v>6.9493010693548851E-2</v>
      </c>
      <c r="V68" s="22">
        <f t="shared" ref="V68" si="90">T68+($D68-$B68)</f>
        <v>0.12328484410686891</v>
      </c>
      <c r="W68" s="6">
        <v>0.12618848057381682</v>
      </c>
      <c r="X68" s="5">
        <f t="shared" ref="X68" si="91">W68+($C68-$B68)</f>
        <v>9.9292563867156791E-2</v>
      </c>
      <c r="Y68" s="22">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3"/>
      <c r="E69" s="9"/>
      <c r="F69" s="9"/>
      <c r="G69" s="23"/>
      <c r="H69" s="10"/>
      <c r="I69" s="9"/>
      <c r="J69" s="23"/>
      <c r="K69" s="5"/>
      <c r="L69" s="5"/>
      <c r="M69" s="22"/>
      <c r="N69" s="10"/>
      <c r="O69" s="9"/>
      <c r="P69" s="23"/>
      <c r="Q69" s="5"/>
      <c r="R69" s="5"/>
      <c r="S69" s="22"/>
      <c r="T69" s="6"/>
      <c r="U69" s="9"/>
      <c r="V69" s="23"/>
      <c r="W69" s="10"/>
      <c r="X69" s="9"/>
      <c r="Y69" s="23"/>
      <c r="Z69" s="5"/>
      <c r="AA69" s="5"/>
      <c r="AB69" s="5"/>
      <c r="AC69" s="5"/>
      <c r="AD69" s="5"/>
      <c r="AE69" s="5"/>
      <c r="AF69" s="5"/>
      <c r="AG69" s="5"/>
      <c r="AH69" s="5"/>
      <c r="AI69" s="4">
        <v>0</v>
      </c>
    </row>
    <row r="70" spans="1:35" ht="18" customHeight="1" x14ac:dyDescent="0.3">
      <c r="A70" s="3">
        <f t="shared" si="0"/>
        <v>2019</v>
      </c>
      <c r="B70" s="10"/>
      <c r="C70" s="9"/>
      <c r="D70" s="23"/>
      <c r="E70" s="9"/>
      <c r="F70" s="9"/>
      <c r="G70" s="23"/>
      <c r="H70" s="10"/>
      <c r="I70" s="9"/>
      <c r="J70" s="23"/>
      <c r="K70" s="5"/>
      <c r="L70" s="5"/>
      <c r="M70" s="22"/>
      <c r="N70" s="10"/>
      <c r="O70" s="9"/>
      <c r="P70" s="23"/>
      <c r="Q70" s="5"/>
      <c r="R70" s="5"/>
      <c r="S70" s="22"/>
      <c r="T70" s="6"/>
      <c r="U70" s="9"/>
      <c r="V70" s="23"/>
      <c r="W70" s="10"/>
      <c r="X70" s="9"/>
      <c r="Y70" s="23"/>
      <c r="Z70" s="5"/>
      <c r="AA70" s="5"/>
      <c r="AB70" s="5"/>
      <c r="AC70" s="5"/>
      <c r="AD70" s="5"/>
      <c r="AE70" s="5"/>
      <c r="AF70" s="5"/>
      <c r="AG70" s="5"/>
      <c r="AH70" s="5"/>
      <c r="AI70" s="4">
        <v>0</v>
      </c>
    </row>
    <row r="71" spans="1:35" ht="18" customHeight="1" thickBot="1" x14ac:dyDescent="0.35">
      <c r="A71" s="3">
        <f t="shared" si="0"/>
        <v>2020</v>
      </c>
      <c r="B71" s="26"/>
      <c r="C71" s="27"/>
      <c r="D71" s="28"/>
      <c r="E71" s="27"/>
      <c r="F71" s="27"/>
      <c r="G71" s="28"/>
      <c r="H71" s="26"/>
      <c r="I71" s="27"/>
      <c r="J71" s="28"/>
      <c r="K71" s="24"/>
      <c r="L71" s="24"/>
      <c r="M71" s="25"/>
      <c r="N71" s="26"/>
      <c r="O71" s="27"/>
      <c r="P71" s="28"/>
      <c r="Q71" s="24"/>
      <c r="R71" s="24"/>
      <c r="S71" s="25"/>
      <c r="T71" s="18"/>
      <c r="U71" s="27"/>
      <c r="V71" s="28"/>
      <c r="W71" s="26"/>
      <c r="X71" s="27"/>
      <c r="Y71" s="28"/>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6" activePane="bottomRight" state="frozen"/>
      <selection activeCell="J7" sqref="J7"/>
      <selection pane="topRight" activeCell="J7" sqref="J7"/>
      <selection pane="bottomLeft" activeCell="J7" sqref="J7"/>
      <selection pane="bottomRight" activeCell="D70" sqref="D70"/>
    </sheetView>
  </sheetViews>
  <sheetFormatPr baseColWidth="10" defaultRowHeight="14.4" x14ac:dyDescent="0.3"/>
  <cols>
    <col min="1" max="1" width="10.77734375" customWidth="1"/>
  </cols>
  <sheetData>
    <row r="1" spans="1:43" ht="18" customHeight="1" x14ac:dyDescent="0.3">
      <c r="A1" s="29" t="s">
        <v>154</v>
      </c>
    </row>
    <row r="2" spans="1:43" ht="18" customHeight="1" thickBot="1" x14ac:dyDescent="0.35">
      <c r="A2" s="29"/>
    </row>
    <row r="3" spans="1:43" ht="18" customHeight="1" thickTop="1" thickBot="1" x14ac:dyDescent="0.35">
      <c r="A3" s="14"/>
      <c r="B3" s="126" t="s">
        <v>155</v>
      </c>
      <c r="C3" s="127"/>
      <c r="D3" s="127"/>
      <c r="E3" s="127"/>
      <c r="F3" s="127"/>
      <c r="G3" s="128"/>
      <c r="H3" s="126" t="s">
        <v>160</v>
      </c>
      <c r="I3" s="127"/>
      <c r="J3" s="127"/>
      <c r="K3" s="127"/>
      <c r="L3" s="127"/>
      <c r="M3" s="128"/>
      <c r="N3" s="126" t="s">
        <v>269</v>
      </c>
      <c r="O3" s="127"/>
      <c r="P3" s="127"/>
      <c r="Q3" s="126" t="s">
        <v>270</v>
      </c>
      <c r="R3" s="127"/>
      <c r="S3" s="127"/>
    </row>
    <row r="4" spans="1:43" ht="18" customHeight="1" thickTop="1" x14ac:dyDescent="0.3">
      <c r="A4" s="132" t="s">
        <v>0</v>
      </c>
      <c r="B4" s="129" t="s">
        <v>156</v>
      </c>
      <c r="C4" s="129"/>
      <c r="D4" s="129" t="s">
        <v>157</v>
      </c>
      <c r="E4" s="129"/>
      <c r="F4" s="130" t="s">
        <v>158</v>
      </c>
      <c r="G4" s="134"/>
      <c r="H4" s="129" t="s">
        <v>156</v>
      </c>
      <c r="I4" s="129"/>
      <c r="J4" s="129" t="s">
        <v>157</v>
      </c>
      <c r="K4" s="129"/>
      <c r="L4" s="130" t="s">
        <v>158</v>
      </c>
      <c r="M4" s="131"/>
      <c r="N4" s="73" t="s">
        <v>156</v>
      </c>
      <c r="O4" s="73" t="s">
        <v>157</v>
      </c>
      <c r="P4" s="74" t="s">
        <v>158</v>
      </c>
      <c r="Q4" s="73" t="s">
        <v>156</v>
      </c>
      <c r="R4" s="73" t="s">
        <v>157</v>
      </c>
      <c r="S4" s="74" t="s">
        <v>158</v>
      </c>
      <c r="T4" s="61"/>
      <c r="U4" s="61"/>
    </row>
    <row r="5" spans="1:43" ht="60" customHeight="1" x14ac:dyDescent="0.3">
      <c r="A5" s="133"/>
      <c r="B5" s="30" t="s">
        <v>159</v>
      </c>
      <c r="C5" s="12" t="s">
        <v>149</v>
      </c>
      <c r="D5" s="59" t="s">
        <v>159</v>
      </c>
      <c r="E5" s="12" t="s">
        <v>149</v>
      </c>
      <c r="F5" s="59" t="s">
        <v>159</v>
      </c>
      <c r="G5" s="12" t="s">
        <v>149</v>
      </c>
      <c r="H5" s="59" t="s">
        <v>159</v>
      </c>
      <c r="I5" s="12" t="s">
        <v>149</v>
      </c>
      <c r="J5" s="59" t="s">
        <v>159</v>
      </c>
      <c r="K5" s="12" t="s">
        <v>149</v>
      </c>
      <c r="L5" s="59" t="s">
        <v>159</v>
      </c>
      <c r="M5" s="12" t="s">
        <v>149</v>
      </c>
      <c r="N5" s="75" t="s">
        <v>159</v>
      </c>
      <c r="O5" s="75" t="s">
        <v>159</v>
      </c>
      <c r="P5" s="75" t="s">
        <v>159</v>
      </c>
      <c r="Q5" s="75" t="s">
        <v>159</v>
      </c>
      <c r="R5" s="75" t="s">
        <v>159</v>
      </c>
      <c r="S5" s="75" t="s">
        <v>159</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1">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1">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1">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1">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1">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1">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1">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1">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1">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1">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1">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1">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1">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1">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1">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1">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1">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1">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1">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1">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1">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1">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1">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1">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1">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1">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1">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1">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1">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1">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1">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1">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1">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1">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1">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1">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1">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1">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1">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1">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1">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1">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1">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1">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1">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1">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1">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1">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1">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1">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1">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1">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1">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1">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1">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1">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1">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1">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1">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1">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1">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1">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1">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1">
        <f t="shared" si="1"/>
        <v>2008</v>
      </c>
      <c r="B69" s="7"/>
      <c r="C69" s="7"/>
      <c r="D69" s="7">
        <v>2.4652915031475299E-2</v>
      </c>
      <c r="E69" s="7">
        <v>0.10712218896413106</v>
      </c>
      <c r="F69" s="7"/>
      <c r="G69" s="32"/>
      <c r="H69" s="7"/>
      <c r="I69" s="7"/>
      <c r="J69" s="7">
        <v>-3.0164266458186095E-2</v>
      </c>
      <c r="K69" s="7">
        <v>7.9487485730200078E-2</v>
      </c>
      <c r="L69" s="7"/>
      <c r="M69" s="32"/>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1">
        <f t="shared" si="1"/>
        <v>2009</v>
      </c>
      <c r="B70" s="7"/>
      <c r="C70" s="7"/>
      <c r="D70" s="8"/>
      <c r="E70" s="8"/>
      <c r="F70" s="7"/>
      <c r="G70" s="32"/>
      <c r="H70" s="7"/>
      <c r="I70" s="7"/>
      <c r="J70" s="8"/>
      <c r="K70" s="8"/>
      <c r="L70" s="7"/>
      <c r="M70" s="32"/>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1">
        <f t="shared" ref="A71:A81" si="2">A70+1</f>
        <v>2010</v>
      </c>
      <c r="B71" s="7">
        <v>1.5479041290445139E-2</v>
      </c>
      <c r="C71" s="7">
        <v>8.4312178683059319E-3</v>
      </c>
      <c r="D71" s="8"/>
      <c r="E71" s="8"/>
      <c r="F71" s="7"/>
      <c r="G71" s="32"/>
      <c r="H71" s="7">
        <v>-8.9197043491186234E-3</v>
      </c>
      <c r="I71" s="7">
        <v>1.2950308698097823E-3</v>
      </c>
      <c r="J71" s="8"/>
      <c r="K71" s="8"/>
      <c r="L71" s="7"/>
      <c r="M71" s="32"/>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1">
        <f t="shared" si="2"/>
        <v>2011</v>
      </c>
      <c r="B72" s="7"/>
      <c r="C72" s="7"/>
      <c r="D72" s="8"/>
      <c r="E72" s="8"/>
      <c r="F72" s="7"/>
      <c r="G72" s="32"/>
      <c r="H72" s="7"/>
      <c r="I72" s="7"/>
      <c r="J72" s="8"/>
      <c r="K72" s="8"/>
      <c r="L72" s="7"/>
      <c r="M72" s="32"/>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1">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1">
        <f t="shared" si="2"/>
        <v>2013</v>
      </c>
      <c r="B74" s="7"/>
      <c r="C74" s="7"/>
      <c r="D74" s="8"/>
      <c r="E74" s="8"/>
      <c r="F74" s="7"/>
      <c r="G74" s="32"/>
      <c r="H74" s="7"/>
      <c r="I74" s="7"/>
      <c r="J74" s="8"/>
      <c r="K74" s="8"/>
      <c r="L74" s="7"/>
      <c r="M74" s="32"/>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1">
        <f t="shared" si="2"/>
        <v>2014</v>
      </c>
      <c r="B75" s="7"/>
      <c r="C75" s="7"/>
      <c r="D75" s="8"/>
      <c r="E75" s="8"/>
      <c r="F75" s="7"/>
      <c r="G75" s="32"/>
      <c r="H75" s="7"/>
      <c r="I75" s="7"/>
      <c r="J75" s="8"/>
      <c r="K75" s="8"/>
      <c r="L75" s="7"/>
      <c r="M75" s="32"/>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1">
        <f t="shared" si="2"/>
        <v>2015</v>
      </c>
      <c r="B76" s="7">
        <v>6.7533978115059359E-2</v>
      </c>
      <c r="C76" s="7">
        <v>7.3130150107119804E-2</v>
      </c>
      <c r="D76" s="8"/>
      <c r="E76" s="8"/>
      <c r="F76" s="7"/>
      <c r="G76" s="32"/>
      <c r="H76" s="7">
        <v>6.847959338572851E-3</v>
      </c>
      <c r="I76" s="7">
        <v>6.2514105859003966E-3</v>
      </c>
      <c r="J76" s="8"/>
      <c r="K76" s="8"/>
      <c r="L76" s="7"/>
      <c r="M76" s="32"/>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1">
        <f t="shared" si="2"/>
        <v>2016</v>
      </c>
      <c r="B77" s="7"/>
      <c r="C77" s="7"/>
      <c r="D77" s="7">
        <v>0.22493986747859676</v>
      </c>
      <c r="E77" s="7">
        <v>0.23367121833507237</v>
      </c>
      <c r="F77" s="7"/>
      <c r="G77" s="32"/>
      <c r="H77" s="7"/>
      <c r="I77" s="7"/>
      <c r="J77" s="7">
        <v>0.13206977360937261</v>
      </c>
      <c r="K77" s="7">
        <v>0.16817676500104303</v>
      </c>
      <c r="L77" s="7"/>
      <c r="M77" s="32"/>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1">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1">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1">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3">
        <f t="shared" si="2"/>
        <v>2020</v>
      </c>
      <c r="B81" s="19"/>
      <c r="C81" s="19"/>
      <c r="D81" s="34"/>
      <c r="E81" s="34"/>
      <c r="F81" s="19"/>
      <c r="G81" s="19"/>
      <c r="H81" s="19"/>
      <c r="I81" s="19"/>
      <c r="J81" s="34"/>
      <c r="K81" s="34"/>
      <c r="L81" s="19"/>
      <c r="M81" s="19"/>
      <c r="N81" s="19"/>
      <c r="O81" s="34"/>
      <c r="P81" s="19"/>
      <c r="Q81" s="19"/>
      <c r="R81" s="34"/>
      <c r="S81" s="19"/>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9" t="s">
        <v>21</v>
      </c>
      <c r="B1" s="14"/>
      <c r="C1" s="14"/>
      <c r="D1" s="14"/>
      <c r="E1" s="14"/>
      <c r="F1" s="14"/>
      <c r="G1" s="14"/>
      <c r="H1" s="14"/>
      <c r="I1" s="14"/>
      <c r="J1" s="14"/>
      <c r="K1" s="14"/>
      <c r="L1" s="14"/>
      <c r="M1" s="14"/>
      <c r="N1" s="14"/>
      <c r="O1" s="14"/>
    </row>
    <row r="2" spans="1:40" ht="18" customHeight="1" thickBot="1" x14ac:dyDescent="0.35">
      <c r="A2" s="14"/>
      <c r="B2" s="14"/>
      <c r="C2" s="14"/>
      <c r="D2" s="14"/>
      <c r="E2" s="14"/>
      <c r="F2" s="14"/>
      <c r="G2" s="14"/>
      <c r="H2" s="14"/>
      <c r="I2" s="14"/>
      <c r="J2" s="14"/>
      <c r="K2" s="14"/>
      <c r="L2" s="14"/>
      <c r="M2" s="14"/>
      <c r="N2" s="14"/>
      <c r="O2" s="14"/>
    </row>
    <row r="3" spans="1:40" ht="18" customHeight="1" thickTop="1" thickBot="1" x14ac:dyDescent="0.35">
      <c r="A3" s="132" t="s">
        <v>0</v>
      </c>
      <c r="B3" s="136" t="s">
        <v>20</v>
      </c>
      <c r="C3" s="137"/>
      <c r="D3" s="137"/>
      <c r="E3" s="137"/>
      <c r="F3" s="137"/>
      <c r="G3" s="137"/>
      <c r="H3" s="137"/>
      <c r="I3" s="137"/>
      <c r="J3" s="137"/>
      <c r="K3" s="137"/>
      <c r="L3" s="137"/>
      <c r="M3" s="137"/>
      <c r="N3" s="137"/>
      <c r="O3" s="137"/>
    </row>
    <row r="4" spans="1:40" ht="40.049999999999997" customHeight="1" thickTop="1" x14ac:dyDescent="0.3">
      <c r="A4" s="133"/>
      <c r="B4" s="118" t="s">
        <v>19</v>
      </c>
      <c r="C4" s="138" t="s">
        <v>18</v>
      </c>
      <c r="D4" s="138" t="s">
        <v>17</v>
      </c>
      <c r="E4" s="138" t="s">
        <v>16</v>
      </c>
      <c r="F4" s="138" t="s">
        <v>15</v>
      </c>
      <c r="G4" s="138" t="s">
        <v>14</v>
      </c>
      <c r="H4" s="138" t="s">
        <v>11</v>
      </c>
      <c r="I4" s="140" t="s">
        <v>10</v>
      </c>
      <c r="J4" s="118" t="s">
        <v>13</v>
      </c>
      <c r="K4" s="138" t="s">
        <v>12</v>
      </c>
      <c r="L4" s="138" t="s">
        <v>11</v>
      </c>
      <c r="M4" s="140" t="s">
        <v>10</v>
      </c>
      <c r="N4" s="118" t="s">
        <v>9</v>
      </c>
      <c r="O4" s="138" t="s">
        <v>8</v>
      </c>
      <c r="P4" s="118" t="s">
        <v>161</v>
      </c>
      <c r="Q4" s="132" t="s">
        <v>162</v>
      </c>
    </row>
    <row r="5" spans="1:40" ht="70.05" customHeight="1" thickBot="1" x14ac:dyDescent="0.35">
      <c r="A5" s="135"/>
      <c r="B5" s="119"/>
      <c r="C5" s="139"/>
      <c r="D5" s="139"/>
      <c r="E5" s="139"/>
      <c r="F5" s="139"/>
      <c r="G5" s="139"/>
      <c r="H5" s="139"/>
      <c r="I5" s="141"/>
      <c r="J5" s="119"/>
      <c r="K5" s="139"/>
      <c r="L5" s="139"/>
      <c r="M5" s="141"/>
      <c r="N5" s="119"/>
      <c r="O5" s="139"/>
      <c r="P5" s="119"/>
      <c r="Q5" s="135"/>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5">
        <v>0.26200000000000001</v>
      </c>
      <c r="C6" s="35">
        <f>0.234</f>
        <v>0.23400000000000001</v>
      </c>
      <c r="D6" s="35">
        <v>0.105</v>
      </c>
      <c r="E6" s="35">
        <v>0.23899999999999999</v>
      </c>
      <c r="F6" s="35">
        <v>0.156</v>
      </c>
      <c r="G6" s="35">
        <v>1E-3</v>
      </c>
      <c r="H6" s="35">
        <v>3.0000000000000001E-3</v>
      </c>
      <c r="I6" s="36">
        <f>B6+C6+D6+E6+F6+G6+H6</f>
        <v>1</v>
      </c>
      <c r="J6" s="35">
        <f>B6+C6+D6</f>
        <v>0.60099999999999998</v>
      </c>
      <c r="K6" s="35">
        <f>E6+F6+G6</f>
        <v>0.39600000000000002</v>
      </c>
      <c r="L6" s="35">
        <f>H6</f>
        <v>3.0000000000000001E-3</v>
      </c>
      <c r="M6" s="35">
        <f>J6+K6+L6</f>
        <v>1</v>
      </c>
      <c r="N6" s="35">
        <f>J6/(J6+K6)</f>
        <v>0.60280842527582745</v>
      </c>
      <c r="O6" s="35">
        <f>K6/(J6+K6)</f>
        <v>0.39719157472417255</v>
      </c>
      <c r="P6" s="6"/>
      <c r="Q6" s="22"/>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5"/>
      <c r="C7" s="35"/>
      <c r="D7" s="35"/>
      <c r="E7" s="35"/>
      <c r="F7" s="35"/>
      <c r="G7" s="35"/>
      <c r="H7" s="35"/>
      <c r="I7" s="35"/>
      <c r="J7" s="35"/>
      <c r="K7" s="35"/>
      <c r="L7" s="35"/>
      <c r="M7" s="35"/>
      <c r="N7" s="35"/>
      <c r="O7" s="35"/>
      <c r="P7" s="6"/>
      <c r="Q7" s="22"/>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5">
        <v>0.28299999999999997</v>
      </c>
      <c r="C8" s="35">
        <f>0.178</f>
        <v>0.17799999999999999</v>
      </c>
      <c r="D8" s="35">
        <v>0.111</v>
      </c>
      <c r="E8" s="35">
        <v>0.25900000000000001</v>
      </c>
      <c r="F8" s="35">
        <v>0.159</v>
      </c>
      <c r="G8" s="35">
        <v>2E-3</v>
      </c>
      <c r="H8" s="35">
        <v>8.0000000000000002E-3</v>
      </c>
      <c r="I8" s="36">
        <f>B8+C8+D8+E8+F8+G8+H8</f>
        <v>1</v>
      </c>
      <c r="J8" s="35">
        <f>B8+C8+D8</f>
        <v>0.57199999999999995</v>
      </c>
      <c r="K8" s="35">
        <f>E8+F8+G8</f>
        <v>0.42000000000000004</v>
      </c>
      <c r="L8" s="35">
        <f>H8</f>
        <v>8.0000000000000002E-3</v>
      </c>
      <c r="M8" s="35">
        <f>J8+K8+L8</f>
        <v>1</v>
      </c>
      <c r="N8" s="35">
        <f>J8/(J8+K8)</f>
        <v>0.57661290322580638</v>
      </c>
      <c r="O8" s="35">
        <f>K8/(J8+K8)</f>
        <v>0.42338709677419362</v>
      </c>
      <c r="P8" s="6"/>
      <c r="Q8" s="22"/>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5"/>
      <c r="C9" s="35"/>
      <c r="D9" s="35"/>
      <c r="E9" s="35"/>
      <c r="F9" s="35"/>
      <c r="G9" s="35"/>
      <c r="H9" s="35"/>
      <c r="I9" s="35"/>
      <c r="J9" s="35"/>
      <c r="K9" s="35"/>
      <c r="L9" s="35"/>
      <c r="M9" s="35"/>
      <c r="N9" s="35"/>
      <c r="O9" s="35"/>
      <c r="P9" s="6"/>
      <c r="Q9" s="22"/>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5"/>
      <c r="C10" s="35"/>
      <c r="D10" s="35"/>
      <c r="E10" s="35"/>
      <c r="F10" s="35"/>
      <c r="G10" s="35"/>
      <c r="H10" s="35"/>
      <c r="I10" s="35"/>
      <c r="J10" s="35"/>
      <c r="K10" s="35"/>
      <c r="L10" s="35"/>
      <c r="M10" s="35"/>
      <c r="N10" s="35"/>
      <c r="O10" s="35"/>
      <c r="P10" s="6"/>
      <c r="Q10" s="22"/>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5"/>
      <c r="C11" s="35"/>
      <c r="D11" s="35"/>
      <c r="E11" s="35"/>
      <c r="F11" s="35"/>
      <c r="G11" s="35"/>
      <c r="H11" s="35"/>
      <c r="I11" s="35"/>
      <c r="J11" s="35"/>
      <c r="K11" s="35"/>
      <c r="L11" s="35"/>
      <c r="M11" s="35"/>
      <c r="N11" s="35"/>
      <c r="O11" s="35"/>
      <c r="P11" s="6"/>
      <c r="Q11" s="22"/>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5"/>
      <c r="C12" s="35"/>
      <c r="D12" s="35"/>
      <c r="E12" s="35"/>
      <c r="F12" s="35"/>
      <c r="G12" s="35"/>
      <c r="H12" s="35"/>
      <c r="I12" s="35"/>
      <c r="J12" s="35"/>
      <c r="K12" s="35"/>
      <c r="L12" s="35"/>
      <c r="M12" s="35"/>
      <c r="N12" s="35"/>
      <c r="O12" s="35"/>
      <c r="P12" s="6"/>
      <c r="Q12" s="22"/>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5">
        <f>0.259+0.008</f>
        <v>0.26700000000000002</v>
      </c>
      <c r="C13" s="35">
        <f>0.145+0.002</f>
        <v>0.14699999999999999</v>
      </c>
      <c r="D13" s="35">
        <v>0.1</v>
      </c>
      <c r="E13" s="35">
        <f>0.125+0.14</f>
        <v>0.26500000000000001</v>
      </c>
      <c r="F13" s="35">
        <v>0.217</v>
      </c>
      <c r="G13" s="35">
        <v>2E-3</v>
      </c>
      <c r="H13" s="35">
        <v>2E-3</v>
      </c>
      <c r="I13" s="36">
        <f>B13+C13+D13+E13+F13+G13+H13</f>
        <v>1</v>
      </c>
      <c r="J13" s="35">
        <f>B13+C13+D13</f>
        <v>0.51400000000000001</v>
      </c>
      <c r="K13" s="35">
        <f>E13+F13+G13</f>
        <v>0.48399999999999999</v>
      </c>
      <c r="L13" s="35">
        <f>H13</f>
        <v>2E-3</v>
      </c>
      <c r="M13" s="35">
        <f>J13+K13+L13</f>
        <v>1</v>
      </c>
      <c r="N13" s="35">
        <f>J13/(J13+K13)</f>
        <v>0.51503006012024044</v>
      </c>
      <c r="O13" s="35">
        <f>K13/(J13+K13)</f>
        <v>0.4849699398797595</v>
      </c>
      <c r="P13" s="6"/>
      <c r="Q13" s="22"/>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5"/>
      <c r="C14" s="35"/>
      <c r="D14" s="35"/>
      <c r="E14" s="35"/>
      <c r="F14" s="35"/>
      <c r="G14" s="35"/>
      <c r="H14" s="35"/>
      <c r="I14" s="35"/>
      <c r="J14" s="35"/>
      <c r="K14" s="35"/>
      <c r="L14" s="35"/>
      <c r="M14" s="35"/>
      <c r="N14" s="35"/>
      <c r="O14" s="35"/>
      <c r="P14" s="6"/>
      <c r="Q14" s="22"/>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5"/>
      <c r="C15" s="35"/>
      <c r="D15" s="35"/>
      <c r="E15" s="35"/>
      <c r="F15" s="35"/>
      <c r="G15" s="35"/>
      <c r="H15" s="35"/>
      <c r="I15" s="35"/>
      <c r="J15" s="35"/>
      <c r="K15" s="35"/>
      <c r="L15" s="35"/>
      <c r="M15" s="35"/>
      <c r="N15" s="35"/>
      <c r="O15" s="35"/>
      <c r="P15" s="6"/>
      <c r="Q15" s="22"/>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5"/>
      <c r="C16" s="35"/>
      <c r="D16" s="35"/>
      <c r="E16" s="35"/>
      <c r="F16" s="35"/>
      <c r="G16" s="35"/>
      <c r="H16" s="35"/>
      <c r="I16" s="35"/>
      <c r="J16" s="35"/>
      <c r="K16" s="35"/>
      <c r="L16" s="35"/>
      <c r="M16" s="35"/>
      <c r="N16" s="35"/>
      <c r="O16" s="35"/>
      <c r="P16" s="6"/>
      <c r="Q16" s="22"/>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5"/>
      <c r="C17" s="35"/>
      <c r="D17" s="35"/>
      <c r="E17" s="35"/>
      <c r="F17" s="35"/>
      <c r="G17" s="35"/>
      <c r="H17" s="35"/>
      <c r="I17" s="35"/>
      <c r="J17" s="35"/>
      <c r="K17" s="35"/>
      <c r="L17" s="35"/>
      <c r="M17" s="35"/>
      <c r="N17" s="35"/>
      <c r="O17" s="35"/>
      <c r="P17" s="6"/>
      <c r="Q17" s="22"/>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5">
        <v>0.25359999999999999</v>
      </c>
      <c r="C18" s="35">
        <v>0.161</v>
      </c>
      <c r="D18" s="35">
        <v>0.1099</v>
      </c>
      <c r="E18" s="35">
        <f>0.1088+0.0385+0.0269</f>
        <v>0.17419999999999999</v>
      </c>
      <c r="F18" s="35">
        <v>0.14990000000000001</v>
      </c>
      <c r="G18" s="35">
        <v>0.12620000000000001</v>
      </c>
      <c r="H18" s="35">
        <v>2.5100000000000001E-2</v>
      </c>
      <c r="I18" s="36">
        <f>B18+C18+D18+E18+F18+G18+H18</f>
        <v>0.99990000000000001</v>
      </c>
      <c r="J18" s="35">
        <f>B18+C18+D18</f>
        <v>0.52449999999999997</v>
      </c>
      <c r="K18" s="35">
        <f>E18+F18+G18</f>
        <v>0.45030000000000003</v>
      </c>
      <c r="L18" s="35">
        <f>H18</f>
        <v>2.5100000000000001E-2</v>
      </c>
      <c r="M18" s="35">
        <f>J18+K18+L18</f>
        <v>0.99990000000000001</v>
      </c>
      <c r="N18" s="35">
        <f>J18/(J18+K18)</f>
        <v>0.53805908904390642</v>
      </c>
      <c r="O18" s="35">
        <f>K18/(J18+K18)</f>
        <v>0.46194091095609358</v>
      </c>
      <c r="P18" s="6"/>
      <c r="Q18" s="22"/>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5"/>
      <c r="C19" s="35"/>
      <c r="D19" s="35"/>
      <c r="E19" s="35"/>
      <c r="F19" s="35"/>
      <c r="G19" s="35"/>
      <c r="H19" s="35"/>
      <c r="I19" s="35"/>
      <c r="J19" s="35"/>
      <c r="K19" s="35"/>
      <c r="L19" s="35"/>
      <c r="M19" s="35"/>
      <c r="N19" s="35"/>
      <c r="O19" s="35"/>
      <c r="P19" s="6"/>
      <c r="Q19" s="22"/>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5">
        <v>0.189</v>
      </c>
      <c r="C20" s="35">
        <f>0.155</f>
        <v>0.155</v>
      </c>
      <c r="D20" s="35">
        <v>8.4000000000000005E-2</v>
      </c>
      <c r="E20" s="35">
        <f>0.137+0.091</f>
        <v>0.22800000000000001</v>
      </c>
      <c r="F20" s="35">
        <f>0.176+0.118</f>
        <v>0.29399999999999998</v>
      </c>
      <c r="G20" s="35">
        <v>3.3000000000000002E-2</v>
      </c>
      <c r="H20" s="35">
        <v>1.7000000000000001E-2</v>
      </c>
      <c r="I20" s="36">
        <f>B20+C20+D20+E20+F20+G20+H20</f>
        <v>1</v>
      </c>
      <c r="J20" s="35">
        <f>B20+C20+D20</f>
        <v>0.42799999999999999</v>
      </c>
      <c r="K20" s="35">
        <f>E20+F20+G20</f>
        <v>0.55500000000000005</v>
      </c>
      <c r="L20" s="35">
        <f>H20</f>
        <v>1.7000000000000001E-2</v>
      </c>
      <c r="M20" s="35">
        <f>J20+K20+L20</f>
        <v>1</v>
      </c>
      <c r="N20" s="35">
        <f>J20/(J20+K20)</f>
        <v>0.43540183112919628</v>
      </c>
      <c r="O20" s="35">
        <f>K20/(J20+K20)</f>
        <v>0.56459816887080361</v>
      </c>
      <c r="P20" s="6"/>
      <c r="Q20" s="22"/>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5"/>
      <c r="C21" s="35"/>
      <c r="D21" s="35"/>
      <c r="E21" s="35"/>
      <c r="F21" s="35"/>
      <c r="G21" s="35"/>
      <c r="H21" s="35"/>
      <c r="I21" s="35"/>
      <c r="J21" s="35"/>
      <c r="K21" s="35"/>
      <c r="L21" s="35"/>
      <c r="M21" s="35"/>
      <c r="N21" s="35"/>
      <c r="O21" s="35"/>
      <c r="P21" s="6"/>
      <c r="Q21" s="22"/>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5"/>
      <c r="C22" s="35"/>
      <c r="D22" s="35"/>
      <c r="E22" s="35"/>
      <c r="F22" s="35"/>
      <c r="G22" s="35"/>
      <c r="H22" s="35"/>
      <c r="I22" s="35"/>
      <c r="J22" s="35"/>
      <c r="K22" s="35"/>
      <c r="L22" s="35"/>
      <c r="M22" s="35"/>
      <c r="N22" s="35"/>
      <c r="O22" s="35"/>
      <c r="P22" s="6"/>
      <c r="Q22" s="22"/>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5"/>
      <c r="C23" s="35"/>
      <c r="D23" s="35"/>
      <c r="E23" s="35"/>
      <c r="F23" s="35"/>
      <c r="G23" s="35"/>
      <c r="H23" s="35"/>
      <c r="I23" s="35"/>
      <c r="J23" s="35"/>
      <c r="K23" s="35"/>
      <c r="L23" s="35"/>
      <c r="M23" s="35"/>
      <c r="N23" s="35"/>
      <c r="O23" s="35"/>
      <c r="P23" s="6"/>
      <c r="Q23" s="22"/>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5">
        <f>0.2187</f>
        <v>0.21870000000000001</v>
      </c>
      <c r="C24" s="35">
        <f>0.1243+0.0198</f>
        <v>0.14410000000000001</v>
      </c>
      <c r="D24" s="35">
        <v>7.4200000000000002E-2</v>
      </c>
      <c r="E24" s="35">
        <f>0.0916+0.0732+0.0233</f>
        <v>0.18809999999999999</v>
      </c>
      <c r="F24" s="35">
        <f>0.3206+0.0455</f>
        <v>0.36609999999999998</v>
      </c>
      <c r="G24" s="35">
        <v>7.6E-3</v>
      </c>
      <c r="H24" s="35">
        <v>1.1999999999999999E-3</v>
      </c>
      <c r="I24" s="36">
        <f>B24+C24+D24+E24+F24+G24+H24</f>
        <v>1</v>
      </c>
      <c r="J24" s="35">
        <f>B24+C24+D24</f>
        <v>0.437</v>
      </c>
      <c r="K24" s="35">
        <f>E24+F24+G24</f>
        <v>0.56180000000000008</v>
      </c>
      <c r="L24" s="35">
        <f>H24</f>
        <v>1.1999999999999999E-3</v>
      </c>
      <c r="M24" s="35">
        <f>J24+K24+L24</f>
        <v>1.0000000000000002</v>
      </c>
      <c r="N24" s="35">
        <f>J24/(J24+K24)</f>
        <v>0.43752503003604321</v>
      </c>
      <c r="O24" s="35">
        <f>K24/(J24+K24)</f>
        <v>0.56247496996395674</v>
      </c>
      <c r="P24" s="6"/>
      <c r="Q24" s="22"/>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5"/>
      <c r="C25" s="35"/>
      <c r="D25" s="35"/>
      <c r="E25" s="35"/>
      <c r="F25" s="35"/>
      <c r="G25" s="35"/>
      <c r="H25" s="35"/>
      <c r="I25" s="35"/>
      <c r="J25" s="35"/>
      <c r="K25" s="35"/>
      <c r="L25" s="35"/>
      <c r="M25" s="35"/>
      <c r="N25" s="35"/>
      <c r="O25" s="35"/>
      <c r="P25" s="6"/>
      <c r="Q25" s="22"/>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5"/>
      <c r="C26" s="35"/>
      <c r="D26" s="35"/>
      <c r="E26" s="35"/>
      <c r="F26" s="35"/>
      <c r="G26" s="35"/>
      <c r="H26" s="35"/>
      <c r="I26" s="35"/>
      <c r="J26" s="35"/>
      <c r="K26" s="35"/>
      <c r="L26" s="35"/>
      <c r="M26" s="35"/>
      <c r="N26" s="35"/>
      <c r="O26" s="35"/>
      <c r="P26" s="6"/>
      <c r="Q26" s="22"/>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5"/>
      <c r="C27" s="35"/>
      <c r="D27" s="35"/>
      <c r="E27" s="35"/>
      <c r="F27" s="35"/>
      <c r="G27" s="35"/>
      <c r="H27" s="35"/>
      <c r="I27" s="35"/>
      <c r="J27" s="35"/>
      <c r="K27" s="35"/>
      <c r="L27" s="35"/>
      <c r="M27" s="35"/>
      <c r="N27" s="35"/>
      <c r="O27" s="35"/>
      <c r="P27" s="6">
        <v>0.44800000000000001</v>
      </c>
      <c r="Q27" s="22">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5"/>
      <c r="C28" s="35"/>
      <c r="D28" s="35"/>
      <c r="E28" s="35"/>
      <c r="F28" s="35"/>
      <c r="G28" s="35"/>
      <c r="H28" s="35"/>
      <c r="I28" s="35"/>
      <c r="J28" s="35"/>
      <c r="K28" s="35"/>
      <c r="L28" s="35"/>
      <c r="M28" s="35"/>
      <c r="N28" s="35"/>
      <c r="O28" s="35"/>
      <c r="P28" s="6"/>
      <c r="Q28" s="22"/>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5">
        <v>0.22459999999999999</v>
      </c>
      <c r="C29" s="35">
        <f>0.1879+0.0226-0.005</f>
        <v>0.20550000000000002</v>
      </c>
      <c r="D29" s="35">
        <v>5.0000000000000001E-3</v>
      </c>
      <c r="E29" s="35">
        <f>0.1279</f>
        <v>0.12790000000000001</v>
      </c>
      <c r="F29" s="35">
        <f>0.3775+0.0519</f>
        <v>0.4294</v>
      </c>
      <c r="G29" s="35">
        <v>5.5999999999999999E-3</v>
      </c>
      <c r="H29" s="35">
        <v>2E-3</v>
      </c>
      <c r="I29" s="36">
        <f>B29+C29+D29+E29+F29+G29+H29</f>
        <v>1</v>
      </c>
      <c r="J29" s="35">
        <f>B29+C29+D29</f>
        <v>0.43510000000000004</v>
      </c>
      <c r="K29" s="35">
        <f>E29+F29+G29</f>
        <v>0.56290000000000007</v>
      </c>
      <c r="L29" s="35">
        <f>H29</f>
        <v>2E-3</v>
      </c>
      <c r="M29" s="35">
        <f>J29+K29+L29</f>
        <v>1</v>
      </c>
      <c r="N29" s="35">
        <f>J29/(J29+K29)</f>
        <v>0.43597194388777555</v>
      </c>
      <c r="O29" s="35">
        <f>K29/(J29+K29)</f>
        <v>0.56402805611222451</v>
      </c>
      <c r="P29" s="6"/>
      <c r="Q29" s="22"/>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5">
        <v>0.2</v>
      </c>
      <c r="C30" s="35">
        <f>21.2%-0.004</f>
        <v>0.20799999999999999</v>
      </c>
      <c r="D30" s="35">
        <v>3.5999999999999999E-3</v>
      </c>
      <c r="E30" s="35">
        <f>0.103+0.055</f>
        <v>0.158</v>
      </c>
      <c r="F30" s="35">
        <f>0.381+0.041</f>
        <v>0.42199999999999999</v>
      </c>
      <c r="G30" s="35">
        <v>2E-3</v>
      </c>
      <c r="H30" s="35">
        <v>6.4000000000000003E-3</v>
      </c>
      <c r="I30" s="36">
        <f>B30+C30+D30+E30+F30+G30+H30</f>
        <v>1</v>
      </c>
      <c r="J30" s="35">
        <f>B30+C30+D30</f>
        <v>0.41160000000000002</v>
      </c>
      <c r="K30" s="35">
        <f>E30+F30+G30</f>
        <v>0.58199999999999996</v>
      </c>
      <c r="L30" s="35">
        <f>H30</f>
        <v>6.4000000000000003E-3</v>
      </c>
      <c r="M30" s="35">
        <f>J30+K30+L30</f>
        <v>1</v>
      </c>
      <c r="N30" s="35">
        <f>J30/(J30+K30)</f>
        <v>0.41425120772946861</v>
      </c>
      <c r="O30" s="35">
        <f>K30/(J30+K30)</f>
        <v>0.58574879227053134</v>
      </c>
      <c r="P30" s="6"/>
      <c r="Q30" s="22"/>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5"/>
      <c r="C31" s="35"/>
      <c r="D31" s="35"/>
      <c r="E31" s="35"/>
      <c r="F31" s="35"/>
      <c r="G31" s="35"/>
      <c r="H31" s="35"/>
      <c r="I31" s="35"/>
      <c r="J31" s="35"/>
      <c r="K31" s="35"/>
      <c r="L31" s="35"/>
      <c r="M31" s="35"/>
      <c r="N31" s="35"/>
      <c r="O31" s="35"/>
      <c r="P31" s="6"/>
      <c r="Q31" s="22"/>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5"/>
      <c r="C32" s="35"/>
      <c r="D32" s="35"/>
      <c r="E32" s="35"/>
      <c r="F32" s="35"/>
      <c r="G32" s="35"/>
      <c r="H32" s="35"/>
      <c r="I32" s="35"/>
      <c r="J32" s="35"/>
      <c r="K32" s="35"/>
      <c r="L32" s="35"/>
      <c r="M32" s="35"/>
      <c r="N32" s="35"/>
      <c r="O32" s="35"/>
      <c r="P32" s="10"/>
      <c r="Q32" s="23"/>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5"/>
      <c r="C33" s="35"/>
      <c r="D33" s="35"/>
      <c r="E33" s="35"/>
      <c r="F33" s="35"/>
      <c r="G33" s="35"/>
      <c r="H33" s="35"/>
      <c r="I33" s="35"/>
      <c r="J33" s="35"/>
      <c r="K33" s="35"/>
      <c r="L33" s="35"/>
      <c r="M33" s="35"/>
      <c r="N33" s="35"/>
      <c r="O33" s="35"/>
      <c r="P33" s="6"/>
      <c r="Q33" s="22"/>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5"/>
      <c r="C34" s="35"/>
      <c r="D34" s="35"/>
      <c r="E34" s="35"/>
      <c r="F34" s="35"/>
      <c r="G34" s="35"/>
      <c r="H34" s="35"/>
      <c r="I34" s="35"/>
      <c r="J34" s="35"/>
      <c r="K34" s="35"/>
      <c r="L34" s="35"/>
      <c r="M34" s="35"/>
      <c r="N34" s="35"/>
      <c r="O34" s="35"/>
      <c r="P34" s="6"/>
      <c r="Q34" s="22"/>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5">
        <f>0.213+0.013</f>
        <v>0.22600000000000001</v>
      </c>
      <c r="C35" s="35">
        <f>0.189+0.028+0.02-0.017</f>
        <v>0.21999999999999997</v>
      </c>
      <c r="D35" s="35">
        <v>1.72E-2</v>
      </c>
      <c r="E35" s="35">
        <f>0.124+0.069+0.039</f>
        <v>0.23200000000000001</v>
      </c>
      <c r="F35" s="35">
        <f>0.239+0.04</f>
        <v>0.27899999999999997</v>
      </c>
      <c r="G35" s="35">
        <v>5.0000000000000001E-3</v>
      </c>
      <c r="H35" s="35">
        <v>2.0799999999999999E-2</v>
      </c>
      <c r="I35" s="36">
        <f>B35+C35+D35+E35+F35+G35+H35</f>
        <v>1</v>
      </c>
      <c r="J35" s="35">
        <f>B35+C35+D35</f>
        <v>0.46319999999999995</v>
      </c>
      <c r="K35" s="35">
        <f>E35+F35+G35</f>
        <v>0.51600000000000001</v>
      </c>
      <c r="L35" s="35">
        <f>H35</f>
        <v>2.0799999999999999E-2</v>
      </c>
      <c r="M35" s="35">
        <f>J35+K35+L35</f>
        <v>1</v>
      </c>
      <c r="N35" s="35">
        <f>J35/(J35+K35)</f>
        <v>0.47303921568627449</v>
      </c>
      <c r="O35" s="35">
        <f>K35/(J35+K35)</f>
        <v>0.52696078431372551</v>
      </c>
      <c r="P35" s="6"/>
      <c r="Q35" s="22"/>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5"/>
      <c r="C36" s="35"/>
      <c r="D36" s="35"/>
      <c r="E36" s="35"/>
      <c r="F36" s="35"/>
      <c r="G36" s="35"/>
      <c r="H36" s="35"/>
      <c r="I36" s="35"/>
      <c r="J36" s="35"/>
      <c r="K36" s="35"/>
      <c r="L36" s="35"/>
      <c r="M36" s="35"/>
      <c r="N36" s="35"/>
      <c r="O36" s="35"/>
      <c r="P36" s="6">
        <v>0.49199998378753662</v>
      </c>
      <c r="Q36" s="22">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5"/>
      <c r="C37" s="35"/>
      <c r="D37" s="35"/>
      <c r="E37" s="35"/>
      <c r="F37" s="35"/>
      <c r="G37" s="35"/>
      <c r="H37" s="35"/>
      <c r="I37" s="35"/>
      <c r="J37" s="35"/>
      <c r="K37" s="35"/>
      <c r="L37" s="35"/>
      <c r="M37" s="35"/>
      <c r="N37" s="35"/>
      <c r="O37" s="35"/>
      <c r="P37" s="6"/>
      <c r="Q37" s="22"/>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5"/>
      <c r="C38" s="35"/>
      <c r="D38" s="35"/>
      <c r="E38" s="35"/>
      <c r="F38" s="35"/>
      <c r="G38" s="35"/>
      <c r="H38" s="35"/>
      <c r="I38" s="35"/>
      <c r="J38" s="35"/>
      <c r="K38" s="35"/>
      <c r="L38" s="35"/>
      <c r="M38" s="35"/>
      <c r="N38" s="35"/>
      <c r="O38" s="35"/>
      <c r="P38" s="6"/>
      <c r="Q38" s="22"/>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5"/>
      <c r="C39" s="35"/>
      <c r="D39" s="35"/>
      <c r="E39" s="35"/>
      <c r="F39" s="35"/>
      <c r="G39" s="35"/>
      <c r="H39" s="35"/>
      <c r="I39" s="35"/>
      <c r="J39" s="35"/>
      <c r="K39" s="35"/>
      <c r="L39" s="35"/>
      <c r="M39" s="35"/>
      <c r="N39" s="35"/>
      <c r="O39" s="35"/>
      <c r="P39" s="6"/>
      <c r="Q39" s="22"/>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5">
        <f>0.2061+0.0327</f>
        <v>0.23880000000000001</v>
      </c>
      <c r="C40" s="35">
        <f>0.2282+0.0218</f>
        <v>0.25</v>
      </c>
      <c r="D40" s="35">
        <v>2.1600000000000001E-2</v>
      </c>
      <c r="E40" s="35">
        <f>0.2137+0.0234</f>
        <v>0.23710000000000001</v>
      </c>
      <c r="F40" s="35">
        <f>0.2252+0.01</f>
        <v>0.23520000000000002</v>
      </c>
      <c r="G40" s="35">
        <f>0.0029+0.0046</f>
        <v>7.4999999999999997E-3</v>
      </c>
      <c r="H40" s="35">
        <v>9.7999999999999997E-3</v>
      </c>
      <c r="I40" s="36">
        <f>B40+C40+D40+E40+F40+G40+H40</f>
        <v>0.99999999999999989</v>
      </c>
      <c r="J40" s="35">
        <f>B40+C40+D40</f>
        <v>0.51039999999999996</v>
      </c>
      <c r="K40" s="35">
        <f>E40+F40+G40</f>
        <v>0.47980000000000006</v>
      </c>
      <c r="L40" s="35">
        <f>H40</f>
        <v>9.7999999999999997E-3</v>
      </c>
      <c r="M40" s="35">
        <f>J40+K40+L40</f>
        <v>1</v>
      </c>
      <c r="N40" s="35">
        <f>J40/(J40+K40)</f>
        <v>0.51545142395475663</v>
      </c>
      <c r="O40" s="35">
        <f>K40/(J40+K40)</f>
        <v>0.48454857604524348</v>
      </c>
      <c r="P40" s="6"/>
      <c r="Q40" s="22"/>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5"/>
      <c r="C41" s="35"/>
      <c r="D41" s="35"/>
      <c r="E41" s="35"/>
      <c r="F41" s="35"/>
      <c r="G41" s="35"/>
      <c r="H41" s="35"/>
      <c r="I41" s="35"/>
      <c r="J41" s="35"/>
      <c r="K41" s="35"/>
      <c r="L41" s="35"/>
      <c r="M41" s="35"/>
      <c r="N41" s="35"/>
      <c r="O41" s="35"/>
      <c r="P41" s="6"/>
      <c r="Q41" s="22"/>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5"/>
      <c r="C42" s="35"/>
      <c r="D42" s="35"/>
      <c r="E42" s="35"/>
      <c r="F42" s="35"/>
      <c r="G42" s="35"/>
      <c r="H42" s="35"/>
      <c r="I42" s="35"/>
      <c r="J42" s="35"/>
      <c r="K42" s="35"/>
      <c r="L42" s="35"/>
      <c r="M42" s="35"/>
      <c r="N42" s="35"/>
      <c r="O42" s="35"/>
      <c r="P42" s="6"/>
      <c r="Q42" s="22"/>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5">
        <f>0.1613+0.0132</f>
        <v>0.17449999999999999</v>
      </c>
      <c r="C43" s="35">
        <f>0.3603+0.008+0.0107</f>
        <v>0.379</v>
      </c>
      <c r="D43" s="35">
        <v>1.41E-2</v>
      </c>
      <c r="E43" s="35">
        <f>0.1917</f>
        <v>0.19170000000000001</v>
      </c>
      <c r="F43" s="35">
        <f>0.2083+0.0283</f>
        <v>0.2366</v>
      </c>
      <c r="G43" s="35">
        <v>3.5000000000000001E-3</v>
      </c>
      <c r="H43" s="35">
        <v>5.9999999999999995E-4</v>
      </c>
      <c r="I43" s="36">
        <f>B43+C43+D43+E43+F43+G43+H43</f>
        <v>1</v>
      </c>
      <c r="J43" s="35">
        <f>B43+C43+D43</f>
        <v>0.56759999999999999</v>
      </c>
      <c r="K43" s="35">
        <f>E43+F43+G43</f>
        <v>0.43180000000000002</v>
      </c>
      <c r="L43" s="35">
        <f>H43</f>
        <v>5.9999999999999995E-4</v>
      </c>
      <c r="M43" s="35">
        <f>J43+K43+L43</f>
        <v>1</v>
      </c>
      <c r="N43" s="35">
        <f>J43/(J43+K43)</f>
        <v>0.56794076445867514</v>
      </c>
      <c r="O43" s="35">
        <f>K43/(J43+K43)</f>
        <v>0.4320592355413248</v>
      </c>
      <c r="P43" s="6">
        <v>0.52</v>
      </c>
      <c r="Q43" s="22">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5"/>
      <c r="C44" s="35"/>
      <c r="D44" s="35"/>
      <c r="E44" s="35"/>
      <c r="F44" s="35"/>
      <c r="G44" s="35"/>
      <c r="H44" s="35"/>
      <c r="I44" s="35"/>
      <c r="J44" s="35"/>
      <c r="K44" s="35"/>
      <c r="L44" s="35"/>
      <c r="M44" s="35"/>
      <c r="N44" s="35"/>
      <c r="O44" s="35"/>
      <c r="P44" s="6"/>
      <c r="Q44" s="22"/>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5"/>
      <c r="C45" s="35"/>
      <c r="D45" s="35"/>
      <c r="E45" s="35"/>
      <c r="F45" s="35"/>
      <c r="G45" s="35"/>
      <c r="H45" s="35"/>
      <c r="I45" s="35"/>
      <c r="J45" s="35"/>
      <c r="K45" s="35"/>
      <c r="L45" s="35"/>
      <c r="M45" s="35"/>
      <c r="N45" s="35"/>
      <c r="O45" s="35"/>
      <c r="P45" s="6"/>
      <c r="Q45" s="22"/>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5"/>
      <c r="C46" s="35"/>
      <c r="D46" s="35"/>
      <c r="E46" s="35"/>
      <c r="F46" s="35"/>
      <c r="G46" s="35"/>
      <c r="H46" s="35"/>
      <c r="I46" s="35"/>
      <c r="J46" s="35"/>
      <c r="K46" s="35"/>
      <c r="L46" s="35"/>
      <c r="M46" s="35"/>
      <c r="N46" s="35"/>
      <c r="O46" s="35"/>
      <c r="P46" s="6"/>
      <c r="Q46" s="22"/>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5"/>
      <c r="C47" s="35"/>
      <c r="D47" s="35"/>
      <c r="E47" s="35"/>
      <c r="F47" s="35"/>
      <c r="G47" s="35"/>
      <c r="H47" s="35"/>
      <c r="I47" s="35"/>
      <c r="J47" s="35"/>
      <c r="K47" s="35"/>
      <c r="L47" s="35"/>
      <c r="M47" s="35"/>
      <c r="N47" s="35"/>
      <c r="O47" s="35"/>
      <c r="P47" s="6"/>
      <c r="Q47" s="22"/>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5">
        <f>0.0978+0.0154</f>
        <v>0.1132</v>
      </c>
      <c r="C48" s="35">
        <f>0.3102+0.0121+0.0107</f>
        <v>0.33299999999999996</v>
      </c>
      <c r="D48" s="35">
        <v>3.8E-3</v>
      </c>
      <c r="E48" s="35">
        <f>0.5*0.2144+0.0831</f>
        <v>0.1903</v>
      </c>
      <c r="F48" s="35">
        <f>0.5*0.2144+0.1122+0.0387</f>
        <v>0.2581</v>
      </c>
      <c r="G48" s="35">
        <f>0.0965+0.002</f>
        <v>9.8500000000000004E-2</v>
      </c>
      <c r="H48" s="35">
        <v>3.0999999999999999E-3</v>
      </c>
      <c r="I48" s="36">
        <f>B48+C48+D48+E48+F48+G48+H48</f>
        <v>1</v>
      </c>
      <c r="J48" s="35">
        <f>B48+C48+D48</f>
        <v>0.44999999999999996</v>
      </c>
      <c r="K48" s="35">
        <f>E48+F48+G48</f>
        <v>0.54690000000000005</v>
      </c>
      <c r="L48" s="35">
        <f>H48</f>
        <v>3.0999999999999999E-3</v>
      </c>
      <c r="M48" s="35">
        <f>J48+K48+L48</f>
        <v>1</v>
      </c>
      <c r="N48" s="35">
        <f>J48/(J48+K48)</f>
        <v>0.45139933794763765</v>
      </c>
      <c r="O48" s="35">
        <f>K48/(J48+K48)</f>
        <v>0.54860066205236235</v>
      </c>
      <c r="P48" s="6"/>
      <c r="Q48" s="22"/>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5"/>
      <c r="C49" s="35"/>
      <c r="D49" s="35"/>
      <c r="E49" s="35"/>
      <c r="F49" s="35"/>
      <c r="G49" s="35"/>
      <c r="H49" s="35"/>
      <c r="I49" s="35"/>
      <c r="J49" s="35"/>
      <c r="K49" s="35"/>
      <c r="L49" s="35"/>
      <c r="M49" s="35"/>
      <c r="N49" s="35"/>
      <c r="O49" s="35"/>
      <c r="P49" s="6"/>
      <c r="Q49" s="22"/>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5">
        <f>0.0036+0.1132</f>
        <v>0.1168</v>
      </c>
      <c r="C50" s="35">
        <f>0.3476+0.0165+0.0035</f>
        <v>0.36760000000000004</v>
      </c>
      <c r="D50" s="35">
        <v>1.14E-2</v>
      </c>
      <c r="E50" s="35">
        <f>0.185</f>
        <v>0.185</v>
      </c>
      <c r="F50" s="35">
        <f>0.1918+0.0285</f>
        <v>0.2203</v>
      </c>
      <c r="G50" s="35">
        <f>0.0966+0.0013</f>
        <v>9.7900000000000001E-2</v>
      </c>
      <c r="H50" s="35">
        <v>1E-3</v>
      </c>
      <c r="I50" s="36">
        <f>B50+C50+D50+E50+F50+G50+H50</f>
        <v>1</v>
      </c>
      <c r="J50" s="35">
        <f>B50+C50+D50</f>
        <v>0.49580000000000007</v>
      </c>
      <c r="K50" s="35">
        <f>E50+F50+G50</f>
        <v>0.50319999999999998</v>
      </c>
      <c r="L50" s="35">
        <f>H50</f>
        <v>1E-3</v>
      </c>
      <c r="M50" s="35">
        <f>J50+K50+L50</f>
        <v>1</v>
      </c>
      <c r="N50" s="35">
        <f>J50/(J50+K50)</f>
        <v>0.49629629629629629</v>
      </c>
      <c r="O50" s="35">
        <f>K50/(J50+K50)</f>
        <v>0.50370370370370365</v>
      </c>
      <c r="P50" s="6">
        <v>0.54000002145767212</v>
      </c>
      <c r="Q50" s="22">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5"/>
      <c r="C51" s="35"/>
      <c r="D51" s="35"/>
      <c r="E51" s="35"/>
      <c r="F51" s="35"/>
      <c r="G51" s="35"/>
      <c r="H51" s="35"/>
      <c r="I51" s="35"/>
      <c r="J51" s="35"/>
      <c r="K51" s="35"/>
      <c r="L51" s="35"/>
      <c r="M51" s="35"/>
      <c r="N51" s="35"/>
      <c r="O51" s="35"/>
      <c r="P51" s="6"/>
      <c r="Q51" s="22"/>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5"/>
      <c r="C52" s="35"/>
      <c r="D52" s="35"/>
      <c r="E52" s="35"/>
      <c r="F52" s="35"/>
      <c r="G52" s="35"/>
      <c r="H52" s="35"/>
      <c r="I52" s="35"/>
      <c r="J52" s="35"/>
      <c r="K52" s="35"/>
      <c r="L52" s="35"/>
      <c r="M52" s="35"/>
      <c r="N52" s="35"/>
      <c r="O52" s="35"/>
      <c r="P52" s="6"/>
      <c r="Q52" s="22"/>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5"/>
      <c r="C53" s="35"/>
      <c r="D53" s="35"/>
      <c r="E53" s="35"/>
      <c r="F53" s="35"/>
      <c r="G53" s="35"/>
      <c r="H53" s="35"/>
      <c r="I53" s="35"/>
      <c r="J53" s="35"/>
      <c r="K53" s="35"/>
      <c r="L53" s="35"/>
      <c r="M53" s="35"/>
      <c r="N53" s="35"/>
      <c r="O53" s="35"/>
      <c r="P53" s="6"/>
      <c r="Q53" s="22"/>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5"/>
      <c r="C54" s="35"/>
      <c r="D54" s="35"/>
      <c r="E54" s="35"/>
      <c r="F54" s="35"/>
      <c r="G54" s="35"/>
      <c r="H54" s="35"/>
      <c r="I54" s="35"/>
      <c r="J54" s="35"/>
      <c r="K54" s="35"/>
      <c r="L54" s="35"/>
      <c r="M54" s="35"/>
      <c r="N54" s="35"/>
      <c r="O54" s="35"/>
      <c r="P54" s="6"/>
      <c r="Q54" s="22"/>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5">
        <f>0.0167+0.0919</f>
        <v>0.1086</v>
      </c>
      <c r="C55" s="35">
        <f>0.174+0.0273+0.0403+0.0361+0.025+0.0056-0.009</f>
        <v>0.29930000000000001</v>
      </c>
      <c r="D55" s="35">
        <v>8.9999999999999993E-3</v>
      </c>
      <c r="E55" s="35">
        <f>0.1864+0.0028</f>
        <v>0.18920000000000001</v>
      </c>
      <c r="F55" s="35">
        <f>0.1983+0.0441</f>
        <v>0.2424</v>
      </c>
      <c r="G55" s="35">
        <f>0.1242+0.0014</f>
        <v>0.12560000000000002</v>
      </c>
      <c r="H55" s="35">
        <f>0.0007+0.013+0.0122</f>
        <v>2.5899999999999999E-2</v>
      </c>
      <c r="I55" s="36">
        <f>B55+C55+D55+E55+F55+G55+H55</f>
        <v>1</v>
      </c>
      <c r="J55" s="35">
        <f>B55+C55+D55</f>
        <v>0.41690000000000005</v>
      </c>
      <c r="K55" s="35">
        <f>E55+F55+G55</f>
        <v>0.55720000000000003</v>
      </c>
      <c r="L55" s="35">
        <f>H55</f>
        <v>2.5899999999999999E-2</v>
      </c>
      <c r="M55" s="35">
        <f>J55+K55+L55</f>
        <v>1</v>
      </c>
      <c r="N55" s="35">
        <f>J55/(J55+K55)</f>
        <v>0.42798480648804027</v>
      </c>
      <c r="O55" s="35">
        <f>K55/(J55+K55)</f>
        <v>0.57201519351195973</v>
      </c>
      <c r="P55" s="6"/>
      <c r="Q55" s="22"/>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5"/>
      <c r="C56" s="35"/>
      <c r="D56" s="35"/>
      <c r="E56" s="35"/>
      <c r="F56" s="35"/>
      <c r="G56" s="35"/>
      <c r="H56" s="35"/>
      <c r="I56" s="35"/>
      <c r="J56" s="35"/>
      <c r="K56" s="35"/>
      <c r="L56" s="35"/>
      <c r="M56" s="35"/>
      <c r="N56" s="35"/>
      <c r="O56" s="35"/>
      <c r="P56" s="6"/>
      <c r="Q56" s="22"/>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5"/>
      <c r="C57" s="35"/>
      <c r="D57" s="35"/>
      <c r="E57" s="35"/>
      <c r="F57" s="35"/>
      <c r="G57" s="35"/>
      <c r="H57" s="35"/>
      <c r="I57" s="35"/>
      <c r="J57" s="35"/>
      <c r="K57" s="35"/>
      <c r="L57" s="35"/>
      <c r="M57" s="35"/>
      <c r="N57" s="35"/>
      <c r="O57" s="35"/>
      <c r="P57" s="6">
        <v>0.47257512807846069</v>
      </c>
      <c r="Q57" s="22">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5"/>
      <c r="C58" s="35"/>
      <c r="D58" s="35"/>
      <c r="E58" s="35"/>
      <c r="F58" s="35"/>
      <c r="G58" s="35"/>
      <c r="H58" s="35"/>
      <c r="I58" s="35"/>
      <c r="J58" s="35"/>
      <c r="K58" s="35"/>
      <c r="L58" s="35"/>
      <c r="M58" s="35"/>
      <c r="N58" s="35"/>
      <c r="O58" s="35"/>
      <c r="P58" s="6"/>
      <c r="Q58" s="22"/>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5">
        <f>0.0994+0.0252</f>
        <v>0.1246</v>
      </c>
      <c r="C59" s="35">
        <f>0.2353+0.0681+0.0279</f>
        <v>0.33129999999999998</v>
      </c>
      <c r="D59" s="35">
        <v>1.4500000000000001E-2</v>
      </c>
      <c r="E59" s="35">
        <f>0.1421</f>
        <v>0.1421</v>
      </c>
      <c r="F59" s="35">
        <f>0.157+0.0659</f>
        <v>0.22289999999999999</v>
      </c>
      <c r="G59" s="35">
        <f>0.1494+0.0001</f>
        <v>0.14949999999999999</v>
      </c>
      <c r="H59" s="35">
        <f>0.0147+0.0004</f>
        <v>1.5099999999999999E-2</v>
      </c>
      <c r="I59" s="36">
        <f>B59+C59+D59+E59+F59+G59+H59</f>
        <v>1</v>
      </c>
      <c r="J59" s="35">
        <f>B59+C59+D59</f>
        <v>0.47039999999999998</v>
      </c>
      <c r="K59" s="35">
        <f>E59+F59+G59</f>
        <v>0.51449999999999996</v>
      </c>
      <c r="L59" s="35">
        <f>H59</f>
        <v>1.5099999999999999E-2</v>
      </c>
      <c r="M59" s="35">
        <f>J59+K59+L59</f>
        <v>0.99999999999999989</v>
      </c>
      <c r="N59" s="35">
        <f>J59/(J59+K59)</f>
        <v>0.47761194029850751</v>
      </c>
      <c r="O59" s="35">
        <f>K59/(J59+K59)</f>
        <v>0.5223880597014926</v>
      </c>
      <c r="P59" s="6"/>
      <c r="Q59" s="22"/>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5"/>
      <c r="C60" s="35"/>
      <c r="D60" s="35"/>
      <c r="E60" s="35"/>
      <c r="F60" s="35"/>
      <c r="G60" s="35"/>
      <c r="H60" s="35"/>
      <c r="I60" s="36"/>
      <c r="J60" s="35"/>
      <c r="K60" s="35"/>
      <c r="L60" s="35"/>
      <c r="M60" s="35"/>
      <c r="N60" s="35"/>
      <c r="O60" s="35"/>
      <c r="P60" s="6"/>
      <c r="Q60" s="22"/>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5"/>
      <c r="C61" s="35"/>
      <c r="D61" s="35"/>
      <c r="E61" s="35"/>
      <c r="F61" s="35"/>
      <c r="G61" s="35"/>
      <c r="H61" s="35"/>
      <c r="I61" s="36"/>
      <c r="J61" s="35"/>
      <c r="K61" s="35"/>
      <c r="L61" s="35"/>
      <c r="M61" s="35"/>
      <c r="N61" s="35"/>
      <c r="O61" s="35"/>
      <c r="P61" s="6"/>
      <c r="Q61" s="22"/>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5"/>
      <c r="C62" s="35"/>
      <c r="D62" s="35"/>
      <c r="E62" s="35"/>
      <c r="F62" s="35"/>
      <c r="G62" s="35"/>
      <c r="H62" s="35"/>
      <c r="I62" s="36"/>
      <c r="J62" s="35"/>
      <c r="K62" s="35"/>
      <c r="L62" s="35"/>
      <c r="M62" s="35"/>
      <c r="N62" s="35"/>
      <c r="O62" s="35"/>
      <c r="P62" s="6"/>
      <c r="Q62" s="22"/>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5"/>
      <c r="C63" s="35"/>
      <c r="D63" s="35"/>
      <c r="E63" s="35"/>
      <c r="F63" s="35"/>
      <c r="G63" s="35"/>
      <c r="H63" s="35"/>
      <c r="I63" s="36"/>
      <c r="J63" s="35"/>
      <c r="K63" s="35"/>
      <c r="L63" s="35"/>
      <c r="M63" s="35"/>
      <c r="N63" s="35"/>
      <c r="O63" s="35"/>
      <c r="P63" s="6"/>
      <c r="Q63" s="22"/>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5">
        <f>0.0482+0.012+0.0127+0.0032</f>
        <v>7.6100000000000001E-2</v>
      </c>
      <c r="C64" s="35">
        <f>0.3726-0.0482+0.0117-0.0154</f>
        <v>0.32069999999999993</v>
      </c>
      <c r="D64" s="35">
        <v>1.54E-2</v>
      </c>
      <c r="E64" s="35">
        <f>0.0485+0.0365</f>
        <v>8.4999999999999992E-2</v>
      </c>
      <c r="F64" s="35">
        <f>0.4331-E64</f>
        <v>0.34809999999999997</v>
      </c>
      <c r="G64" s="35">
        <f>0.1134+0.0109+0.0024</f>
        <v>0.12670000000000001</v>
      </c>
      <c r="H64" s="35">
        <f>0.0167+0.0026+0.0087</f>
        <v>2.7999999999999997E-2</v>
      </c>
      <c r="I64" s="36">
        <f>B64+C64+D64+E64+F64+G64+H64</f>
        <v>1</v>
      </c>
      <c r="J64" s="35">
        <f>B64+C64+D64</f>
        <v>0.41219999999999996</v>
      </c>
      <c r="K64" s="35">
        <f>E64+F64+G64</f>
        <v>0.55979999999999996</v>
      </c>
      <c r="L64" s="35">
        <f>H64</f>
        <v>2.7999999999999997E-2</v>
      </c>
      <c r="M64" s="35">
        <f>J64+K64+L64</f>
        <v>1</v>
      </c>
      <c r="N64" s="35">
        <f>J64/(J64+K64)</f>
        <v>0.42407407407407405</v>
      </c>
      <c r="O64" s="35">
        <f>K64/(J64+K64)</f>
        <v>0.57592592592592595</v>
      </c>
      <c r="P64" s="6"/>
      <c r="Q64" s="22"/>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5"/>
      <c r="C65" s="35"/>
      <c r="D65" s="35"/>
      <c r="E65" s="35"/>
      <c r="F65" s="35"/>
      <c r="G65" s="35"/>
      <c r="H65" s="35"/>
      <c r="I65" s="36"/>
      <c r="J65" s="35"/>
      <c r="K65" s="35"/>
      <c r="L65" s="35"/>
      <c r="M65" s="35"/>
      <c r="N65" s="35"/>
      <c r="O65" s="35"/>
      <c r="P65" s="6"/>
      <c r="Q65" s="22"/>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5"/>
      <c r="C66" s="35"/>
      <c r="D66" s="35"/>
      <c r="E66" s="35"/>
      <c r="F66" s="35"/>
      <c r="G66" s="35"/>
      <c r="H66" s="35"/>
      <c r="I66" s="36"/>
      <c r="J66" s="35"/>
      <c r="K66" s="35"/>
      <c r="L66" s="35"/>
      <c r="M66" s="35"/>
      <c r="N66" s="35"/>
      <c r="O66" s="35"/>
      <c r="P66" s="6"/>
      <c r="Q66" s="22"/>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5"/>
      <c r="C67" s="35"/>
      <c r="D67" s="35"/>
      <c r="E67" s="35"/>
      <c r="F67" s="35"/>
      <c r="G67" s="35"/>
      <c r="H67" s="35"/>
      <c r="I67" s="36"/>
      <c r="J67" s="35"/>
      <c r="K67" s="35"/>
      <c r="L67" s="35"/>
      <c r="M67" s="35"/>
      <c r="N67" s="35"/>
      <c r="O67" s="35"/>
      <c r="P67" s="6"/>
      <c r="Q67" s="22"/>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5"/>
      <c r="C68" s="35"/>
      <c r="D68" s="35"/>
      <c r="E68" s="35"/>
      <c r="F68" s="35"/>
      <c r="G68" s="35"/>
      <c r="H68" s="35"/>
      <c r="I68" s="36"/>
      <c r="J68" s="35"/>
      <c r="K68" s="35"/>
      <c r="L68" s="35"/>
      <c r="M68" s="35"/>
      <c r="N68" s="35"/>
      <c r="O68" s="35"/>
      <c r="P68" s="6"/>
      <c r="Q68" s="22"/>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5">
        <f>0.0341+0.0429</f>
        <v>7.6999999999999999E-2</v>
      </c>
      <c r="C69" s="35">
        <f>0.2473+0.0197+0.0325+0.008</f>
        <v>0.3075</v>
      </c>
      <c r="D69" s="35">
        <v>1.32E-2</v>
      </c>
      <c r="E69" s="35">
        <f>0.0761</f>
        <v>7.6100000000000001E-2</v>
      </c>
      <c r="F69" s="35">
        <f>0.0237+0.3954+0.012+0.0247</f>
        <v>0.45579999999999998</v>
      </c>
      <c r="G69" s="35">
        <f>0.0429+0.0039</f>
        <v>4.6800000000000001E-2</v>
      </c>
      <c r="H69" s="35">
        <f>0.0051+0.0082+0.0103</f>
        <v>2.3600000000000003E-2</v>
      </c>
      <c r="I69" s="36">
        <f>B69+C69+D69+E69+F69+G69+H69</f>
        <v>0.99999999999999989</v>
      </c>
      <c r="J69" s="35">
        <f>B69+C69+D69</f>
        <v>0.3977</v>
      </c>
      <c r="K69" s="35">
        <f>E69+F69+G69</f>
        <v>0.57869999999999999</v>
      </c>
      <c r="L69" s="35">
        <f>H69</f>
        <v>2.3600000000000003E-2</v>
      </c>
      <c r="M69" s="35">
        <f>J69+K69+L69</f>
        <v>0.99999999999999989</v>
      </c>
      <c r="N69" s="35">
        <f>J69/(J69+K69)</f>
        <v>0.40731257681278166</v>
      </c>
      <c r="O69" s="35">
        <f>K69/(J69+K69)</f>
        <v>0.59268742318721834</v>
      </c>
      <c r="P69" s="6">
        <v>0.46935823559761047</v>
      </c>
      <c r="Q69" s="22">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5"/>
      <c r="C70" s="35"/>
      <c r="D70" s="35"/>
      <c r="E70" s="35"/>
      <c r="F70" s="35"/>
      <c r="G70" s="35"/>
      <c r="H70" s="35"/>
      <c r="I70" s="36"/>
      <c r="J70" s="35"/>
      <c r="K70" s="35"/>
      <c r="L70" s="35"/>
      <c r="M70" s="35"/>
      <c r="N70" s="35"/>
      <c r="O70" s="35"/>
      <c r="P70" s="6"/>
      <c r="Q70" s="22"/>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5"/>
      <c r="C71" s="35"/>
      <c r="D71" s="35"/>
      <c r="E71" s="35"/>
      <c r="F71" s="35"/>
      <c r="G71" s="35"/>
      <c r="H71" s="35"/>
      <c r="I71" s="36"/>
      <c r="J71" s="35"/>
      <c r="K71" s="35"/>
      <c r="L71" s="35"/>
      <c r="M71" s="35"/>
      <c r="N71" s="35"/>
      <c r="O71" s="35"/>
      <c r="P71" s="6"/>
      <c r="Q71" s="22"/>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5"/>
      <c r="C72" s="35"/>
      <c r="D72" s="35"/>
      <c r="E72" s="35"/>
      <c r="F72" s="35"/>
      <c r="G72" s="35"/>
      <c r="H72" s="35"/>
      <c r="I72" s="36"/>
      <c r="J72" s="35"/>
      <c r="K72" s="35"/>
      <c r="L72" s="35"/>
      <c r="M72" s="35"/>
      <c r="N72" s="35"/>
      <c r="O72" s="35"/>
      <c r="P72" s="6"/>
      <c r="Q72" s="22"/>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5"/>
      <c r="C73" s="35"/>
      <c r="D73" s="35"/>
      <c r="E73" s="35"/>
      <c r="F73" s="35"/>
      <c r="G73" s="35"/>
      <c r="H73" s="35"/>
      <c r="I73" s="36"/>
      <c r="J73" s="35"/>
      <c r="K73" s="35"/>
      <c r="L73" s="35"/>
      <c r="M73" s="35"/>
      <c r="N73" s="35"/>
      <c r="O73" s="35"/>
      <c r="P73" s="6"/>
      <c r="Q73" s="22"/>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5">
        <f>0.0098+0.0691</f>
        <v>7.8899999999999998E-2</v>
      </c>
      <c r="C74" s="35">
        <f>0.2935+0.034+0.0546+0.0096</f>
        <v>0.39169999999999999</v>
      </c>
      <c r="D74" s="35">
        <v>1.6500000000000001E-2</v>
      </c>
      <c r="E74" s="35">
        <f>0.0177+0.006+0.0124+0.022</f>
        <v>5.8099999999999999E-2</v>
      </c>
      <c r="F74" s="35">
        <f>0.2712+0.0351</f>
        <v>0.30630000000000002</v>
      </c>
      <c r="G74" s="35">
        <f>0.136+0.0019</f>
        <v>0.13790000000000002</v>
      </c>
      <c r="H74" s="35">
        <f>0.0056+0.005</f>
        <v>1.06E-2</v>
      </c>
      <c r="I74" s="36">
        <f>B74+C74+D74+E74+F74+G74+H74</f>
        <v>1</v>
      </c>
      <c r="J74" s="35">
        <f>B74+C74+D74</f>
        <v>0.48710000000000003</v>
      </c>
      <c r="K74" s="35">
        <f>E74+F74+G74</f>
        <v>0.50229999999999997</v>
      </c>
      <c r="L74" s="35">
        <f>H74</f>
        <v>1.06E-2</v>
      </c>
      <c r="M74" s="35">
        <f>J74+K74+L74</f>
        <v>1</v>
      </c>
      <c r="N74" s="35">
        <f>J74/(J74+K74)</f>
        <v>0.49231857691530223</v>
      </c>
      <c r="O74" s="35">
        <f>K74/(J74+K74)</f>
        <v>0.50768142308469777</v>
      </c>
      <c r="P74" s="6">
        <v>0.51633661985397339</v>
      </c>
      <c r="Q74" s="22">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5"/>
      <c r="C75" s="35"/>
      <c r="D75" s="35"/>
      <c r="E75" s="35"/>
      <c r="F75" s="35"/>
      <c r="G75" s="35"/>
      <c r="H75" s="35"/>
      <c r="I75" s="36"/>
      <c r="J75" s="35"/>
      <c r="K75" s="35"/>
      <c r="L75" s="35"/>
      <c r="M75" s="35"/>
      <c r="N75" s="35"/>
      <c r="O75" s="35"/>
      <c r="P75" s="6"/>
      <c r="Q75" s="22"/>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5"/>
      <c r="C76" s="35"/>
      <c r="D76" s="35"/>
      <c r="E76" s="35"/>
      <c r="F76" s="35"/>
      <c r="G76" s="35"/>
      <c r="H76" s="35"/>
      <c r="I76" s="36"/>
      <c r="J76" s="35"/>
      <c r="K76" s="35"/>
      <c r="L76" s="35"/>
      <c r="M76" s="35"/>
      <c r="N76" s="35"/>
      <c r="O76" s="35"/>
      <c r="P76" s="6"/>
      <c r="Q76" s="22"/>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5"/>
      <c r="C77" s="35"/>
      <c r="D77" s="35"/>
      <c r="E77" s="35"/>
      <c r="F77" s="35"/>
      <c r="G77" s="35"/>
      <c r="H77" s="35"/>
      <c r="I77" s="36"/>
      <c r="J77" s="35"/>
      <c r="K77" s="35"/>
      <c r="L77" s="35"/>
      <c r="M77" s="35"/>
      <c r="N77" s="35"/>
      <c r="O77" s="35"/>
      <c r="P77" s="6"/>
      <c r="Q77" s="22"/>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5"/>
      <c r="C78" s="35"/>
      <c r="D78" s="35"/>
      <c r="E78" s="35"/>
      <c r="F78" s="35"/>
      <c r="G78" s="35"/>
      <c r="H78" s="35"/>
      <c r="I78" s="36"/>
      <c r="J78" s="35"/>
      <c r="K78" s="35"/>
      <c r="L78" s="35"/>
      <c r="M78" s="35"/>
      <c r="N78" s="35"/>
      <c r="O78" s="35"/>
      <c r="P78" s="6"/>
      <c r="Q78" s="22"/>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5">
        <f>0.0077+0.0272+0.1103</f>
        <v>0.1452</v>
      </c>
      <c r="C79" s="35">
        <f>0.0744+0.016+0.043</f>
        <v>0.13339999999999999</v>
      </c>
      <c r="D79" s="35">
        <f>0.0047+0.5*(0.2821+0.0412)</f>
        <v>0.16635000000000003</v>
      </c>
      <c r="E79" s="35">
        <f>0.0303+0.0117+0.5*(0.2821+0.0412)</f>
        <v>0.20365000000000003</v>
      </c>
      <c r="F79" s="35">
        <f>0.1577+0.0276</f>
        <v>0.18530000000000002</v>
      </c>
      <c r="G79" s="35">
        <f>0.132+0.003</f>
        <v>0.13500000000000001</v>
      </c>
      <c r="H79" s="37">
        <f>0.009+0.0221</f>
        <v>3.1100000000000003E-2</v>
      </c>
      <c r="I79" s="36">
        <f>B79+C79+D79+E79+F79+G79+H79</f>
        <v>1</v>
      </c>
      <c r="J79" s="35">
        <f>B79+C79+D79</f>
        <v>0.44494999999999996</v>
      </c>
      <c r="K79" s="35">
        <f>E79+F79+G79</f>
        <v>0.52395000000000003</v>
      </c>
      <c r="L79" s="35">
        <f>H79</f>
        <v>3.1100000000000003E-2</v>
      </c>
      <c r="M79" s="35">
        <f>J79+K79+L79</f>
        <v>1</v>
      </c>
      <c r="N79" s="35">
        <f>J79/(J79+K79)</f>
        <v>0.45923211889771903</v>
      </c>
      <c r="O79" s="35">
        <f>K79/(J79+K79)</f>
        <v>0.54076788110228102</v>
      </c>
      <c r="P79" s="6"/>
      <c r="Q79" s="22"/>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5"/>
      <c r="C80" s="35"/>
      <c r="D80" s="35"/>
      <c r="E80" s="35"/>
      <c r="F80" s="35"/>
      <c r="G80" s="35"/>
      <c r="H80" s="35"/>
      <c r="I80" s="36"/>
      <c r="J80" s="35"/>
      <c r="K80" s="35"/>
      <c r="L80" s="35"/>
      <c r="M80" s="35"/>
      <c r="N80" s="35"/>
      <c r="O80" s="35"/>
      <c r="P80" s="6"/>
      <c r="Q80" s="22"/>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5"/>
      <c r="C81" s="35"/>
      <c r="D81" s="35"/>
      <c r="E81" s="35"/>
      <c r="F81" s="35"/>
      <c r="G81" s="35"/>
      <c r="H81" s="35"/>
      <c r="I81" s="35"/>
      <c r="J81" s="35"/>
      <c r="K81" s="35"/>
      <c r="L81" s="35"/>
      <c r="M81" s="35"/>
      <c r="N81" s="35"/>
      <c r="O81" s="35"/>
      <c r="P81" s="6"/>
      <c r="Q81" s="22"/>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5"/>
      <c r="C82" s="35"/>
      <c r="D82" s="35"/>
      <c r="E82" s="35"/>
      <c r="F82" s="35"/>
      <c r="G82" s="35"/>
      <c r="H82" s="35"/>
      <c r="I82" s="35"/>
      <c r="J82" s="35"/>
      <c r="K82" s="35"/>
      <c r="L82" s="35"/>
      <c r="M82" s="35"/>
      <c r="N82" s="35"/>
      <c r="O82" s="35"/>
      <c r="P82" s="18"/>
      <c r="Q82" s="25"/>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 ref="M4:M5"/>
    <mergeCell ref="N4:N5"/>
    <mergeCell ref="O4:O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9" t="s">
        <v>34</v>
      </c>
    </row>
    <row r="2" spans="1:56" ht="18" customHeight="1" thickBot="1" x14ac:dyDescent="0.35">
      <c r="A2" s="14"/>
    </row>
    <row r="3" spans="1:56" ht="18" customHeight="1" thickTop="1" thickBot="1" x14ac:dyDescent="0.35">
      <c r="A3" s="132" t="s">
        <v>0</v>
      </c>
      <c r="B3" s="42" t="s">
        <v>35</v>
      </c>
      <c r="C3" s="42"/>
      <c r="D3" s="41"/>
      <c r="E3" s="41"/>
      <c r="F3" s="42" t="s">
        <v>33</v>
      </c>
      <c r="G3" s="41"/>
      <c r="H3" s="41"/>
      <c r="I3" s="41"/>
      <c r="J3" s="41"/>
      <c r="K3" s="41"/>
    </row>
    <row r="4" spans="1:56" ht="60" customHeight="1" thickTop="1" thickBot="1" x14ac:dyDescent="0.35">
      <c r="A4" s="135"/>
      <c r="B4" s="39" t="s">
        <v>32</v>
      </c>
      <c r="C4" s="39" t="s">
        <v>31</v>
      </c>
      <c r="D4" s="39" t="s">
        <v>30</v>
      </c>
      <c r="E4" s="39" t="s">
        <v>29</v>
      </c>
      <c r="F4" s="39" t="s">
        <v>28</v>
      </c>
      <c r="G4" s="39" t="s">
        <v>27</v>
      </c>
      <c r="H4" s="39" t="s">
        <v>26</v>
      </c>
      <c r="I4" s="39"/>
      <c r="J4" s="12"/>
      <c r="L4" s="39"/>
      <c r="N4" s="39"/>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Y7" activePane="bottomRight" state="frozen"/>
      <selection activeCell="J1" sqref="J1"/>
      <selection pane="topRight" activeCell="J1" sqref="J1"/>
      <selection pane="bottomLeft" activeCell="J1" sqref="J1"/>
      <selection pane="bottomRight" activeCell="E10" sqref="E10"/>
    </sheetView>
  </sheetViews>
  <sheetFormatPr baseColWidth="10" defaultRowHeight="14.4" x14ac:dyDescent="0.3"/>
  <cols>
    <col min="1" max="11" width="10.77734375" customWidth="1"/>
  </cols>
  <sheetData>
    <row r="1" spans="1:103" ht="15.6" x14ac:dyDescent="0.3">
      <c r="A1" s="29" t="s">
        <v>230</v>
      </c>
    </row>
    <row r="2" spans="1:103" ht="18" customHeight="1" thickBot="1" x14ac:dyDescent="0.35">
      <c r="A2" s="14"/>
      <c r="B2" s="14"/>
      <c r="C2" s="14"/>
      <c r="D2" s="14"/>
      <c r="E2" s="14"/>
      <c r="F2" s="14"/>
      <c r="G2" s="14"/>
      <c r="H2" s="14"/>
      <c r="I2" s="14"/>
      <c r="J2" s="14"/>
      <c r="K2" s="14"/>
    </row>
    <row r="3" spans="1:103" ht="40.049999999999997" customHeight="1" thickTop="1" thickBot="1" x14ac:dyDescent="0.35">
      <c r="A3" s="152" t="s">
        <v>68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4"/>
    </row>
    <row r="4" spans="1:103" ht="18" customHeight="1" thickTop="1" thickBot="1" x14ac:dyDescent="0.35">
      <c r="A4" s="14"/>
      <c r="B4" s="14"/>
      <c r="C4" s="14"/>
      <c r="D4" s="14"/>
      <c r="E4" s="14"/>
      <c r="F4" s="14"/>
      <c r="G4" s="14"/>
      <c r="H4" s="14"/>
      <c r="I4" s="14"/>
      <c r="J4" s="14"/>
      <c r="K4" s="14"/>
    </row>
    <row r="5" spans="1:103" ht="18" customHeight="1" thickTop="1" thickBot="1" x14ac:dyDescent="0.35">
      <c r="A5" s="132" t="s">
        <v>0</v>
      </c>
      <c r="B5" s="151" t="s">
        <v>20</v>
      </c>
      <c r="C5" s="151"/>
      <c r="D5" s="151" t="s">
        <v>67</v>
      </c>
      <c r="E5" s="151"/>
      <c r="F5" s="151" t="s">
        <v>66</v>
      </c>
      <c r="G5" s="151"/>
      <c r="H5" s="44"/>
      <c r="I5" s="155" t="s">
        <v>65</v>
      </c>
      <c r="J5" s="156"/>
      <c r="K5" s="157"/>
      <c r="L5" s="155" t="s">
        <v>64</v>
      </c>
      <c r="M5" s="156"/>
      <c r="N5" s="157"/>
      <c r="O5" s="155" t="s">
        <v>63</v>
      </c>
      <c r="P5" s="156"/>
      <c r="Q5" s="156"/>
      <c r="R5" s="157"/>
      <c r="S5" s="136" t="s">
        <v>62</v>
      </c>
      <c r="T5" s="137"/>
      <c r="U5" s="137"/>
      <c r="V5" s="137"/>
      <c r="W5" s="137"/>
      <c r="X5" s="137"/>
      <c r="Y5" s="137"/>
      <c r="Z5" s="137"/>
      <c r="AA5" s="137"/>
      <c r="AB5" s="136" t="s">
        <v>61</v>
      </c>
      <c r="AC5" s="137"/>
      <c r="AD5" s="137"/>
      <c r="AE5" s="137"/>
      <c r="AF5" s="137"/>
      <c r="AG5" s="137"/>
      <c r="AH5" s="137"/>
      <c r="AI5" s="137"/>
      <c r="AJ5" s="137"/>
      <c r="AK5" s="1" t="s">
        <v>60</v>
      </c>
    </row>
    <row r="6" spans="1:103" ht="60" customHeight="1" thickTop="1" thickBot="1" x14ac:dyDescent="0.35">
      <c r="A6" s="135"/>
      <c r="B6" s="39" t="s">
        <v>56</v>
      </c>
      <c r="C6" s="17" t="s">
        <v>57</v>
      </c>
      <c r="D6" s="40" t="s">
        <v>59</v>
      </c>
      <c r="E6" s="40" t="s">
        <v>58</v>
      </c>
      <c r="F6" s="40" t="s">
        <v>56</v>
      </c>
      <c r="G6" s="40" t="s">
        <v>57</v>
      </c>
      <c r="H6" s="39" t="s">
        <v>56</v>
      </c>
      <c r="I6" s="39" t="s">
        <v>55</v>
      </c>
      <c r="J6" s="39" t="s">
        <v>54</v>
      </c>
      <c r="K6" s="39" t="s">
        <v>53</v>
      </c>
      <c r="L6" s="39" t="s">
        <v>52</v>
      </c>
      <c r="M6" s="39" t="s">
        <v>51</v>
      </c>
      <c r="N6" s="39" t="s">
        <v>50</v>
      </c>
      <c r="O6" s="39" t="s">
        <v>25</v>
      </c>
      <c r="P6" s="39" t="s">
        <v>24</v>
      </c>
      <c r="Q6" s="39" t="s">
        <v>23</v>
      </c>
      <c r="R6" s="39" t="s">
        <v>22</v>
      </c>
      <c r="S6" s="39" t="s">
        <v>49</v>
      </c>
      <c r="T6" s="17" t="s">
        <v>48</v>
      </c>
      <c r="U6" s="17" t="s">
        <v>47</v>
      </c>
      <c r="V6" s="17" t="s">
        <v>46</v>
      </c>
      <c r="W6" s="17" t="s">
        <v>45</v>
      </c>
      <c r="X6" s="39" t="s">
        <v>44</v>
      </c>
      <c r="Y6" s="39" t="s">
        <v>43</v>
      </c>
      <c r="Z6" s="39" t="s">
        <v>42</v>
      </c>
      <c r="AA6" s="39" t="s">
        <v>41</v>
      </c>
      <c r="AB6" s="39" t="s">
        <v>49</v>
      </c>
      <c r="AC6" s="17" t="s">
        <v>48</v>
      </c>
      <c r="AD6" s="17" t="s">
        <v>47</v>
      </c>
      <c r="AE6" s="17" t="s">
        <v>46</v>
      </c>
      <c r="AF6" s="17" t="s">
        <v>45</v>
      </c>
      <c r="AG6" s="39" t="s">
        <v>44</v>
      </c>
      <c r="AH6" s="39" t="s">
        <v>43</v>
      </c>
      <c r="AI6" s="39" t="s">
        <v>42</v>
      </c>
      <c r="AJ6" s="39" t="s">
        <v>41</v>
      </c>
      <c r="AK6" s="39" t="s">
        <v>40</v>
      </c>
      <c r="AL6" s="39" t="s">
        <v>39</v>
      </c>
      <c r="AM6" s="39" t="s">
        <v>38</v>
      </c>
      <c r="AN6" s="39"/>
      <c r="AO6" s="39"/>
      <c r="AP6" s="39"/>
      <c r="AQ6" s="39"/>
      <c r="AR6" s="39"/>
      <c r="AS6" s="39"/>
      <c r="AT6" s="39"/>
      <c r="AU6" s="39"/>
      <c r="AV6" s="39"/>
      <c r="AW6" s="39"/>
      <c r="AX6" s="39"/>
      <c r="AY6" s="39"/>
      <c r="AZ6" s="39"/>
      <c r="BA6" s="39"/>
      <c r="BC6" s="39"/>
      <c r="BD6" s="39"/>
      <c r="BE6" s="39"/>
      <c r="BF6" s="39"/>
      <c r="BG6" s="39"/>
      <c r="BI6" s="39"/>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3">
        <v>0.44244170987606046</v>
      </c>
      <c r="I19" s="43">
        <v>0.40149465685835783</v>
      </c>
      <c r="J19" s="43">
        <v>0.48541703773623901</v>
      </c>
      <c r="K19" s="43">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3">
        <v>0.46175147593021393</v>
      </c>
      <c r="I47" s="43">
        <v>0.44705455750226974</v>
      </c>
      <c r="J47" s="43">
        <v>0.47782529890537262</v>
      </c>
      <c r="K47" s="43">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42" t="s">
        <v>37</v>
      </c>
      <c r="B74" s="143"/>
      <c r="C74" s="143"/>
      <c r="D74" s="143"/>
      <c r="E74" s="143"/>
      <c r="F74" s="143"/>
      <c r="G74" s="143"/>
      <c r="H74" s="143"/>
      <c r="I74" s="143"/>
      <c r="J74" s="143"/>
      <c r="K74" s="143"/>
      <c r="L74" s="143"/>
      <c r="M74" s="143"/>
      <c r="N74" s="143"/>
      <c r="O74" s="144"/>
    </row>
    <row r="75" spans="1:103" x14ac:dyDescent="0.3">
      <c r="A75" s="145"/>
      <c r="B75" s="146"/>
      <c r="C75" s="146"/>
      <c r="D75" s="146"/>
      <c r="E75" s="146"/>
      <c r="F75" s="146"/>
      <c r="G75" s="146"/>
      <c r="H75" s="146"/>
      <c r="I75" s="146"/>
      <c r="J75" s="146"/>
      <c r="K75" s="146"/>
      <c r="L75" s="146"/>
      <c r="M75" s="146"/>
      <c r="N75" s="146"/>
      <c r="O75" s="147"/>
    </row>
    <row r="76" spans="1:103" ht="15" thickBot="1" x14ac:dyDescent="0.35">
      <c r="A76" s="148"/>
      <c r="B76" s="149"/>
      <c r="C76" s="149"/>
      <c r="D76" s="149"/>
      <c r="E76" s="149"/>
      <c r="F76" s="149"/>
      <c r="G76" s="149"/>
      <c r="H76" s="149"/>
      <c r="I76" s="149"/>
      <c r="J76" s="149"/>
      <c r="K76" s="149"/>
      <c r="L76" s="149"/>
      <c r="M76" s="149"/>
      <c r="N76" s="149"/>
      <c r="O76" s="150"/>
    </row>
    <row r="77" spans="1:103" ht="16.2" thickTop="1" x14ac:dyDescent="0.3">
      <c r="A77" s="1" t="s">
        <v>36</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F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9" t="s">
        <v>231</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99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98</v>
      </c>
    </row>
    <row r="5" spans="1:97" ht="18" customHeight="1" thickTop="1" thickBot="1" x14ac:dyDescent="0.35">
      <c r="A5" s="132" t="s">
        <v>0</v>
      </c>
      <c r="B5" s="151" t="s">
        <v>20</v>
      </c>
      <c r="C5" s="151"/>
      <c r="D5" s="151" t="s">
        <v>67</v>
      </c>
      <c r="E5" s="151"/>
      <c r="F5" s="151" t="s">
        <v>66</v>
      </c>
      <c r="G5" s="151"/>
      <c r="H5" s="44"/>
      <c r="I5" s="155" t="s">
        <v>65</v>
      </c>
      <c r="J5" s="156"/>
      <c r="K5" s="157"/>
      <c r="L5" s="155" t="s">
        <v>64</v>
      </c>
      <c r="M5" s="156"/>
      <c r="N5" s="157"/>
      <c r="O5" s="155" t="s">
        <v>63</v>
      </c>
      <c r="P5" s="156"/>
      <c r="Q5" s="156"/>
      <c r="R5" s="156"/>
      <c r="S5" s="156"/>
      <c r="T5" s="157"/>
      <c r="U5" s="160" t="s">
        <v>97</v>
      </c>
      <c r="V5" s="161"/>
      <c r="W5" s="161"/>
      <c r="X5" s="161"/>
      <c r="Y5" s="161"/>
      <c r="Z5" s="161"/>
      <c r="AA5" s="161"/>
      <c r="AB5" s="161"/>
      <c r="AC5" s="161"/>
      <c r="AD5" s="46" t="s">
        <v>75</v>
      </c>
      <c r="AE5" s="49"/>
      <c r="AF5" s="49"/>
      <c r="AG5" s="49"/>
      <c r="AH5" s="49"/>
      <c r="AI5" s="46" t="s">
        <v>96</v>
      </c>
      <c r="AJ5" s="49"/>
      <c r="AK5" s="49"/>
      <c r="AL5" s="158" t="s">
        <v>95</v>
      </c>
      <c r="AM5" s="159"/>
      <c r="AN5" s="48"/>
      <c r="AO5" s="48"/>
      <c r="AP5" s="1" t="s">
        <v>94</v>
      </c>
      <c r="AQ5" s="1" t="s">
        <v>93</v>
      </c>
      <c r="AR5" s="1" t="s">
        <v>92</v>
      </c>
    </row>
    <row r="6" spans="1:97" ht="60" customHeight="1" thickTop="1" thickBot="1" x14ac:dyDescent="0.35">
      <c r="A6" s="135"/>
      <c r="B6" s="39" t="s">
        <v>56</v>
      </c>
      <c r="C6" s="17" t="s">
        <v>57</v>
      </c>
      <c r="D6" s="40" t="s">
        <v>59</v>
      </c>
      <c r="E6" s="40" t="s">
        <v>58</v>
      </c>
      <c r="F6" s="40" t="s">
        <v>56</v>
      </c>
      <c r="G6" s="40" t="s">
        <v>57</v>
      </c>
      <c r="H6" s="39" t="s">
        <v>56</v>
      </c>
      <c r="I6" s="39" t="s">
        <v>55</v>
      </c>
      <c r="J6" s="39" t="s">
        <v>54</v>
      </c>
      <c r="K6" s="39" t="s">
        <v>53</v>
      </c>
      <c r="L6" s="39" t="s">
        <v>52</v>
      </c>
      <c r="M6" s="39" t="s">
        <v>51</v>
      </c>
      <c r="N6" s="39" t="s">
        <v>50</v>
      </c>
      <c r="O6" s="39" t="s">
        <v>25</v>
      </c>
      <c r="P6" s="39" t="s">
        <v>24</v>
      </c>
      <c r="Q6" s="39" t="s">
        <v>23</v>
      </c>
      <c r="R6" s="39" t="s">
        <v>22</v>
      </c>
      <c r="S6" s="39" t="s">
        <v>91</v>
      </c>
      <c r="T6" s="39" t="s">
        <v>90</v>
      </c>
      <c r="U6" s="39" t="s">
        <v>89</v>
      </c>
      <c r="V6" s="39" t="s">
        <v>88</v>
      </c>
      <c r="W6" s="39" t="s">
        <v>72</v>
      </c>
      <c r="X6" s="39" t="s">
        <v>70</v>
      </c>
      <c r="Y6" s="39" t="s">
        <v>87</v>
      </c>
      <c r="Z6" s="39" t="s">
        <v>86</v>
      </c>
      <c r="AA6" s="39" t="s">
        <v>88</v>
      </c>
      <c r="AB6" s="39" t="s">
        <v>72</v>
      </c>
      <c r="AC6" s="39" t="s">
        <v>70</v>
      </c>
      <c r="AD6" s="39" t="s">
        <v>87</v>
      </c>
      <c r="AE6" s="39" t="s">
        <v>86</v>
      </c>
      <c r="AF6" s="39" t="s">
        <v>72</v>
      </c>
      <c r="AG6" s="39" t="s">
        <v>71</v>
      </c>
      <c r="AH6" s="39" t="s">
        <v>70</v>
      </c>
      <c r="AI6" s="39" t="s">
        <v>85</v>
      </c>
      <c r="AJ6" s="39" t="s">
        <v>84</v>
      </c>
      <c r="AK6" s="39" t="s">
        <v>83</v>
      </c>
      <c r="AL6" s="39" t="s">
        <v>82</v>
      </c>
      <c r="AM6" s="39" t="s">
        <v>81</v>
      </c>
      <c r="AN6" s="39" t="s">
        <v>80</v>
      </c>
      <c r="AO6" s="39" t="s">
        <v>79</v>
      </c>
      <c r="AP6" s="39"/>
      <c r="AQ6" s="39"/>
      <c r="AR6" s="39"/>
      <c r="AS6" s="39"/>
      <c r="AT6" s="39"/>
      <c r="AU6" s="39"/>
      <c r="AW6" s="39"/>
      <c r="AX6" s="39"/>
      <c r="AY6" s="39"/>
      <c r="AZ6" s="39"/>
      <c r="BA6" s="39"/>
      <c r="BC6" s="39"/>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DataG14.9!I10</f>
        <v>0.35407684743404388</v>
      </c>
      <c r="J8" s="6">
        <f>DataG14.9!J10</f>
        <v>0.49928127229213715</v>
      </c>
      <c r="K8" s="6">
        <f>DataG14.9!K10</f>
        <v>-0.14520442485809326</v>
      </c>
      <c r="L8" s="6">
        <f>DataG14.9!L10</f>
        <v>7.317422782133251E-2</v>
      </c>
      <c r="M8" s="6">
        <f>DataG14.9!M10</f>
        <v>-1.2332463335301858E-2</v>
      </c>
      <c r="N8" s="6">
        <f>DataG14.9!N10</f>
        <v>8.5506691156634368E-2</v>
      </c>
      <c r="O8" s="6">
        <v>0.47113782167434692</v>
      </c>
      <c r="P8" s="6">
        <v>0.3474394178152479</v>
      </c>
      <c r="Q8" s="6">
        <v>0.26601919531822205</v>
      </c>
      <c r="R8" s="6">
        <f>DataG14.9!R10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DataG14.11!CO58</f>
        <v>0.48937728023788574</v>
      </c>
      <c r="AQ22" s="6">
        <f>DataG14.11!CW58</f>
        <v>0.41598260962404848</v>
      </c>
      <c r="AR22" s="6">
        <f>DataG14.11!CY58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DataG14.11!CO63</f>
        <v>0.4151543116134937</v>
      </c>
      <c r="AQ23" s="6">
        <f>DataG14.11!CW63</f>
        <v>0.38494387847892403</v>
      </c>
      <c r="AR23" s="6">
        <f>DataG14.11!CY63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78</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76</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46" t="s">
        <v>75</v>
      </c>
    </row>
    <row r="33" spans="1:6" ht="45.6" thickTop="1" x14ac:dyDescent="0.3">
      <c r="B33" s="39" t="s">
        <v>74</v>
      </c>
      <c r="C33" s="39" t="s">
        <v>73</v>
      </c>
      <c r="D33" s="39" t="s">
        <v>72</v>
      </c>
      <c r="E33" s="39" t="s">
        <v>71</v>
      </c>
      <c r="F33" s="39" t="s">
        <v>70</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5" t="s">
        <v>69</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AF6" activePane="bottomRight" state="frozen"/>
      <selection activeCell="J1" sqref="J1"/>
      <selection pane="topRight" activeCell="J1" sqref="J1"/>
      <selection pane="bottomLeft" activeCell="J1" sqref="J1"/>
      <selection pane="bottomRight" activeCell="O6" sqref="O6:O71"/>
    </sheetView>
  </sheetViews>
  <sheetFormatPr baseColWidth="10" defaultRowHeight="14.4" x14ac:dyDescent="0.3"/>
  <cols>
    <col min="1" max="14" width="10.77734375" customWidth="1"/>
  </cols>
  <sheetData>
    <row r="1" spans="1:121" ht="15.6" x14ac:dyDescent="0.3">
      <c r="A1" s="29" t="s">
        <v>232</v>
      </c>
    </row>
    <row r="2" spans="1:121" ht="18" customHeight="1" thickBot="1" x14ac:dyDescent="0.35">
      <c r="A2" s="14"/>
      <c r="B2" s="14"/>
      <c r="C2" s="14"/>
      <c r="D2" s="14"/>
      <c r="E2" s="14"/>
      <c r="F2" s="14"/>
      <c r="G2" s="14"/>
      <c r="H2" s="14"/>
      <c r="I2" s="14"/>
      <c r="J2" s="14"/>
      <c r="K2" s="14"/>
      <c r="L2" s="14"/>
      <c r="M2" s="14"/>
      <c r="N2" s="14"/>
    </row>
    <row r="3" spans="1:121" ht="40.049999999999997" customHeight="1" thickTop="1" thickBot="1" x14ac:dyDescent="0.35">
      <c r="A3" s="152" t="s">
        <v>145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
      <c r="AM3" s="15"/>
      <c r="AN3" s="15"/>
      <c r="AO3" s="15"/>
      <c r="AP3" s="15"/>
      <c r="AQ3" s="15"/>
      <c r="AR3" s="15"/>
      <c r="AS3" s="15"/>
      <c r="AT3" s="15"/>
      <c r="AU3" s="15"/>
      <c r="AV3" s="15"/>
    </row>
    <row r="4" spans="1:121" ht="18" customHeight="1" thickTop="1" thickBot="1" x14ac:dyDescent="0.35">
      <c r="A4" s="132" t="s">
        <v>0</v>
      </c>
      <c r="B4" s="136" t="s">
        <v>144</v>
      </c>
      <c r="C4" s="137"/>
      <c r="D4" s="137"/>
      <c r="E4" s="137"/>
      <c r="F4" s="137"/>
      <c r="G4" s="137"/>
      <c r="H4" s="137"/>
      <c r="I4" s="137"/>
      <c r="J4" s="137"/>
      <c r="K4" s="137"/>
      <c r="L4" s="137"/>
      <c r="M4" s="137"/>
      <c r="N4" s="162"/>
      <c r="O4" s="136" t="s">
        <v>143</v>
      </c>
      <c r="P4" s="137"/>
      <c r="Q4" s="137"/>
      <c r="R4" s="137"/>
      <c r="S4" s="137"/>
      <c r="T4" s="137"/>
      <c r="U4" s="137"/>
      <c r="V4" s="137"/>
      <c r="W4" s="137"/>
      <c r="X4" s="137"/>
      <c r="Y4" s="137"/>
      <c r="Z4" s="162"/>
      <c r="AA4" s="136" t="s">
        <v>142</v>
      </c>
      <c r="AB4" s="137"/>
      <c r="AC4" s="137"/>
      <c r="AD4" s="137"/>
      <c r="AE4" s="137"/>
      <c r="AF4" s="137"/>
      <c r="AG4" s="137"/>
      <c r="AH4" s="137"/>
      <c r="AI4" s="137"/>
      <c r="AJ4" s="137"/>
      <c r="AK4" s="162"/>
      <c r="AL4" s="42" t="s">
        <v>1</v>
      </c>
      <c r="AN4" s="42"/>
      <c r="AO4" s="42"/>
      <c r="AP4" s="42"/>
      <c r="AQ4" s="42"/>
      <c r="AR4" s="42"/>
      <c r="AS4" s="42"/>
      <c r="AT4" s="42"/>
      <c r="AU4" s="42"/>
      <c r="AV4" s="42"/>
      <c r="AW4" s="136" t="s">
        <v>2</v>
      </c>
      <c r="AX4" s="137"/>
      <c r="AY4" s="137"/>
      <c r="AZ4" s="137"/>
      <c r="BA4" s="137"/>
      <c r="BB4" s="137"/>
      <c r="BC4" s="137"/>
      <c r="BD4" s="137"/>
      <c r="BE4" s="137"/>
      <c r="BF4" s="137"/>
      <c r="BG4" s="162"/>
      <c r="BH4" s="136" t="s">
        <v>3</v>
      </c>
      <c r="BI4" s="137"/>
      <c r="BJ4" s="137"/>
      <c r="BK4" s="137"/>
      <c r="BL4" s="137"/>
      <c r="BM4" s="137"/>
      <c r="BN4" s="137"/>
      <c r="BO4" s="137"/>
      <c r="BP4" s="137"/>
      <c r="BQ4" s="137"/>
      <c r="BR4" s="162"/>
      <c r="BS4" s="136" t="s">
        <v>141</v>
      </c>
      <c r="BT4" s="137"/>
      <c r="BU4" s="137"/>
      <c r="BV4" s="137"/>
      <c r="BW4" s="137"/>
      <c r="BX4" s="137"/>
      <c r="BY4" s="137"/>
      <c r="BZ4" s="137"/>
      <c r="CA4" s="137"/>
      <c r="CB4" s="137"/>
      <c r="CC4" s="162"/>
      <c r="CD4" s="136" t="s">
        <v>140</v>
      </c>
      <c r="CE4" s="137"/>
      <c r="CF4" s="137"/>
      <c r="CG4" s="137"/>
      <c r="CH4" s="137"/>
      <c r="CI4" s="137"/>
      <c r="CJ4" s="137"/>
      <c r="CK4" s="137"/>
      <c r="CL4" s="137"/>
      <c r="CM4" s="137"/>
      <c r="CN4" s="162"/>
      <c r="CO4" s="136" t="s">
        <v>139</v>
      </c>
      <c r="CP4" s="137"/>
      <c r="CQ4" s="137"/>
      <c r="CR4" s="137"/>
      <c r="CS4" s="137"/>
      <c r="CT4" s="137"/>
      <c r="CU4" s="137"/>
      <c r="CV4" s="137"/>
      <c r="CW4" s="137"/>
      <c r="CX4" s="137"/>
      <c r="CY4" s="162"/>
      <c r="CZ4" s="58" t="s">
        <v>138</v>
      </c>
      <c r="DA4" s="57"/>
      <c r="DB4" s="48"/>
      <c r="DC4" s="48"/>
      <c r="DD4" s="13"/>
      <c r="DE4" s="13"/>
      <c r="DF4" s="13"/>
      <c r="DG4" s="56"/>
      <c r="DJ4" s="58" t="s">
        <v>137</v>
      </c>
      <c r="DK4" s="57"/>
      <c r="DL4" s="48"/>
      <c r="DM4" s="48"/>
      <c r="DN4" s="13"/>
      <c r="DO4" s="13"/>
      <c r="DP4" s="13"/>
      <c r="DQ4" s="56"/>
    </row>
    <row r="5" spans="1:121" ht="79.95" customHeight="1" thickTop="1" thickBot="1" x14ac:dyDescent="0.35">
      <c r="A5" s="135"/>
      <c r="B5" s="39" t="s">
        <v>118</v>
      </c>
      <c r="C5" s="39" t="s">
        <v>113</v>
      </c>
      <c r="D5" s="39" t="s">
        <v>117</v>
      </c>
      <c r="E5" s="39" t="s">
        <v>136</v>
      </c>
      <c r="F5" s="39" t="s">
        <v>4</v>
      </c>
      <c r="G5" s="39" t="s">
        <v>135</v>
      </c>
      <c r="H5" s="39" t="s">
        <v>134</v>
      </c>
      <c r="I5" s="39" t="s">
        <v>133</v>
      </c>
      <c r="J5" s="39" t="s">
        <v>132</v>
      </c>
      <c r="K5" s="39" t="s">
        <v>131</v>
      </c>
      <c r="L5" s="55"/>
      <c r="M5" s="55"/>
      <c r="O5" s="39" t="s">
        <v>118</v>
      </c>
      <c r="P5" s="39" t="s">
        <v>113</v>
      </c>
      <c r="Q5" s="39" t="s">
        <v>117</v>
      </c>
      <c r="R5" s="39" t="s">
        <v>5</v>
      </c>
      <c r="S5" s="39" t="s">
        <v>4</v>
      </c>
      <c r="T5" s="39" t="s">
        <v>130</v>
      </c>
      <c r="U5" s="39" t="s">
        <v>129</v>
      </c>
      <c r="V5" s="39" t="s">
        <v>128</v>
      </c>
      <c r="W5" s="39" t="s">
        <v>127</v>
      </c>
      <c r="X5" s="39"/>
      <c r="AA5" s="39" t="s">
        <v>118</v>
      </c>
      <c r="AB5" s="39" t="s">
        <v>113</v>
      </c>
      <c r="AC5" s="39" t="s">
        <v>117</v>
      </c>
      <c r="AD5" s="39" t="s">
        <v>5</v>
      </c>
      <c r="AE5" s="39" t="s">
        <v>4</v>
      </c>
      <c r="AF5" s="39" t="s">
        <v>112</v>
      </c>
      <c r="AG5" s="39" t="s">
        <v>6</v>
      </c>
      <c r="AH5" s="39" t="s">
        <v>124</v>
      </c>
      <c r="AI5" s="39" t="s">
        <v>126</v>
      </c>
      <c r="AJ5" s="39" t="s">
        <v>125</v>
      </c>
      <c r="AL5" s="39" t="s">
        <v>118</v>
      </c>
      <c r="AM5" s="39" t="s">
        <v>113</v>
      </c>
      <c r="AN5" s="39" t="s">
        <v>117</v>
      </c>
      <c r="AO5" s="39" t="s">
        <v>5</v>
      </c>
      <c r="AP5" s="39" t="s">
        <v>4</v>
      </c>
      <c r="AQ5" s="39" t="s">
        <v>112</v>
      </c>
      <c r="AR5" s="39" t="s">
        <v>6</v>
      </c>
      <c r="AS5" s="39" t="s">
        <v>124</v>
      </c>
      <c r="AT5" s="39"/>
      <c r="AW5" s="39" t="s">
        <v>118</v>
      </c>
      <c r="AX5" s="39" t="s">
        <v>113</v>
      </c>
      <c r="AY5" s="39" t="s">
        <v>117</v>
      </c>
      <c r="AZ5" s="39" t="s">
        <v>5</v>
      </c>
      <c r="BA5" s="39" t="s">
        <v>4</v>
      </c>
      <c r="BB5" s="39" t="s">
        <v>112</v>
      </c>
      <c r="BC5" s="39" t="s">
        <v>7</v>
      </c>
      <c r="BD5" s="39" t="s">
        <v>121</v>
      </c>
      <c r="BE5" s="39" t="s">
        <v>123</v>
      </c>
      <c r="BF5" s="39" t="s">
        <v>122</v>
      </c>
      <c r="BH5" s="39" t="s">
        <v>118</v>
      </c>
      <c r="BI5" s="39" t="s">
        <v>113</v>
      </c>
      <c r="BJ5" s="39" t="s">
        <v>117</v>
      </c>
      <c r="BK5" s="39" t="s">
        <v>5</v>
      </c>
      <c r="BL5" s="39" t="s">
        <v>4</v>
      </c>
      <c r="BM5" s="39" t="s">
        <v>112</v>
      </c>
      <c r="BN5" s="39" t="s">
        <v>7</v>
      </c>
      <c r="BO5" s="39" t="s">
        <v>121</v>
      </c>
      <c r="BP5" s="39" t="s">
        <v>120</v>
      </c>
      <c r="BQ5" s="39" t="s">
        <v>119</v>
      </c>
      <c r="BS5" s="39" t="s">
        <v>118</v>
      </c>
      <c r="BT5" s="39" t="s">
        <v>113</v>
      </c>
      <c r="BU5" s="39" t="s">
        <v>117</v>
      </c>
      <c r="BV5" s="39" t="s">
        <v>5</v>
      </c>
      <c r="BW5" s="39" t="s">
        <v>4</v>
      </c>
      <c r="BX5" s="39" t="s">
        <v>112</v>
      </c>
      <c r="BY5" s="39" t="s">
        <v>7</v>
      </c>
      <c r="BZ5" s="39" t="s">
        <v>111</v>
      </c>
      <c r="CA5" s="39" t="s">
        <v>110</v>
      </c>
      <c r="CB5" s="39"/>
      <c r="CD5" s="39" t="s">
        <v>118</v>
      </c>
      <c r="CE5" s="39" t="s">
        <v>113</v>
      </c>
      <c r="CF5" s="39" t="s">
        <v>117</v>
      </c>
      <c r="CG5" s="39" t="s">
        <v>5</v>
      </c>
      <c r="CH5" s="39" t="s">
        <v>4</v>
      </c>
      <c r="CI5" s="39" t="s">
        <v>112</v>
      </c>
      <c r="CJ5" s="39" t="s">
        <v>7</v>
      </c>
      <c r="CK5" s="39" t="s">
        <v>111</v>
      </c>
      <c r="CL5" s="39" t="s">
        <v>110</v>
      </c>
      <c r="CM5" s="39"/>
      <c r="CO5" s="39" t="s">
        <v>118</v>
      </c>
      <c r="CP5" s="39" t="s">
        <v>113</v>
      </c>
      <c r="CQ5" s="39" t="s">
        <v>117</v>
      </c>
      <c r="CR5" s="39" t="s">
        <v>5</v>
      </c>
      <c r="CS5" s="39" t="s">
        <v>4</v>
      </c>
      <c r="CT5" s="39" t="s">
        <v>112</v>
      </c>
      <c r="CU5" s="39" t="s">
        <v>7</v>
      </c>
      <c r="CV5" s="39" t="s">
        <v>111</v>
      </c>
      <c r="CW5" s="39" t="s">
        <v>110</v>
      </c>
      <c r="CX5" s="39" t="s">
        <v>116</v>
      </c>
      <c r="CY5" s="39" t="s">
        <v>115</v>
      </c>
      <c r="CZ5" s="39" t="s">
        <v>82</v>
      </c>
      <c r="DA5" s="39" t="s">
        <v>81</v>
      </c>
      <c r="DB5" s="39" t="s">
        <v>80</v>
      </c>
      <c r="DC5" s="39" t="s">
        <v>79</v>
      </c>
      <c r="DD5" s="39" t="s">
        <v>114</v>
      </c>
      <c r="DE5" s="39" t="s">
        <v>113</v>
      </c>
      <c r="DF5" s="39" t="s">
        <v>112</v>
      </c>
      <c r="DG5" s="39" t="s">
        <v>7</v>
      </c>
      <c r="DH5" s="39" t="s">
        <v>111</v>
      </c>
      <c r="DI5" s="39" t="s">
        <v>110</v>
      </c>
      <c r="DJ5" s="54" t="s">
        <v>109</v>
      </c>
      <c r="DK5" s="54" t="s">
        <v>108</v>
      </c>
      <c r="DL5" s="53" t="s">
        <v>107</v>
      </c>
      <c r="DM5" s="53" t="s">
        <v>106</v>
      </c>
      <c r="DN5" s="53" t="s">
        <v>105</v>
      </c>
      <c r="DO5" s="53" t="s">
        <v>104</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DataG14.9!K8</f>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f>DataG14.9!L8</f>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f>DataG14.9!R8</f>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6"/>
      <c r="AX7" s="6"/>
      <c r="AY7" s="35"/>
      <c r="AZ7" s="6"/>
      <c r="BA7" s="6"/>
      <c r="BB7" s="6"/>
      <c r="BC7" s="6"/>
      <c r="BD7" s="6"/>
      <c r="BE7" s="6"/>
      <c r="BF7" s="6"/>
      <c r="BH7" s="6"/>
      <c r="BI7" s="6"/>
      <c r="BJ7" s="35"/>
      <c r="BK7" s="6"/>
      <c r="BL7" s="6"/>
      <c r="BM7" s="6"/>
      <c r="BN7" s="6"/>
      <c r="BO7" s="6"/>
      <c r="BP7" s="6"/>
      <c r="BQ7" s="6"/>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DataG14.9!K10</f>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f>DataG14.9!L10</f>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f>DataG14.9!R10</f>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f>DataG14.9!Y10-0.02</f>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5"/>
      <c r="BK9" s="6"/>
      <c r="BL9" s="6"/>
      <c r="BM9" s="6"/>
      <c r="BN9" s="6"/>
      <c r="BO9" s="6"/>
      <c r="BP9" s="6"/>
      <c r="BQ9" s="6"/>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DataG14.9!K14</f>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f>DataG14.9!L14</f>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f>DataG14.9!R14</f>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f>DataG14.9!Y14</f>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DataG14.9!K17</f>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f>DataG14.9!L17</f>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f>DataG14.9!R17</f>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f>DataG14.9!Y17</f>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DataG14.9!K19</f>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DataG14.9!L19</f>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f>DataG14.9!R19</f>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f>DataG14.9!Y19</f>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DataG14.9!K21</f>
        <v>-0.12</v>
      </c>
      <c r="C20" s="6"/>
      <c r="D20" s="6"/>
      <c r="E20" s="6">
        <v>-0.14263105781221372</v>
      </c>
      <c r="F20" s="6">
        <v>-9.7368942187786273E-2</v>
      </c>
      <c r="G20" s="6"/>
      <c r="H20" s="6"/>
      <c r="I20" s="6"/>
      <c r="J20" s="6"/>
      <c r="K20" s="6"/>
      <c r="O20" s="6">
        <f>DataG14.9!L21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DataG14.9!K25</f>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DataG14.9!L25</f>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f>DataG14.9!R25</f>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f>DataG14.9!Y25</f>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DataG14.9!AH25</f>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DataG14.9!K26</f>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DataG14.9!L26</f>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f>DataG14.9!R26</f>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f>DataG14.9!Y26</f>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DataG14.9!AH26</f>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DataG14.9!K30</f>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DataG14.9!L30</f>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f>DataG14.9!R30</f>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f>DataG14.9!Y30</f>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DataG14.9!AH30</f>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DataG14.9!K33</f>
        <v>-7.0000000000000062E-2</v>
      </c>
      <c r="C32" s="6"/>
      <c r="D32" s="6"/>
      <c r="E32" s="6">
        <v>-8.6076300354929136E-2</v>
      </c>
      <c r="F32" s="6">
        <v>-5.3923699645070995E-2</v>
      </c>
      <c r="G32" s="6"/>
      <c r="H32" s="6"/>
      <c r="I32" s="6"/>
      <c r="J32" s="6"/>
      <c r="K32" s="6"/>
      <c r="O32" s="6">
        <f>DataG14.9!L33</f>
        <v>0.22999999999999998</v>
      </c>
      <c r="P32" s="6"/>
      <c r="Q32" s="6"/>
      <c r="R32" s="6"/>
      <c r="S32" s="6"/>
      <c r="T32" s="6"/>
      <c r="U32" s="6"/>
      <c r="V32" s="6"/>
      <c r="W32" s="6"/>
      <c r="X32" s="8"/>
      <c r="AA32" s="6">
        <f>DataG14.9!R33</f>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DataG14.9!K38</f>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DataG14.9!L38</f>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f>DataG14.9!R38</f>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f>DataG14.9!Y38</f>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DataG14.9!AH38</f>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DataG14.10!AO17+0.02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f>DataG14.9!K40</f>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DataG14.9!L40</f>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f>DataG14.9!R40</f>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f>DataG14.9!Y40</f>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DataG14.9!AH40</f>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DataG14.10!AL17</f>
        <v>0.44599998857496709</v>
      </c>
      <c r="DA39" s="4">
        <f>DataG14.10!AM17</f>
        <v>0.75750895453144917</v>
      </c>
      <c r="DB39" s="4">
        <f>DataG14.10!AN17</f>
        <v>0.31150896595648209</v>
      </c>
      <c r="DC39" s="4">
        <f>DataG14.10!AO17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DataG14.9!K45</f>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DataG14.9!L45</f>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f>DataG14.9!R45</f>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f>DataG14.9!Y45</f>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DataG14.9!AH45</f>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DataG14.10!AO19-0.01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f>DataG14.9!K47</f>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DataG14.9!L47</f>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f>DataG14.9!R47</f>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f>DataG14.9!Y47</f>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DataG14.9!AH47</f>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DataG14.10!AL19</f>
        <v>0.38550671573636952</v>
      </c>
      <c r="DA46" s="4">
        <f>DataG14.10!AM19</f>
        <v>0.72880189083450686</v>
      </c>
      <c r="DB46" s="4">
        <f>DataG14.10!AN19</f>
        <v>0.34329517509813734</v>
      </c>
      <c r="DC46" s="4">
        <f>DataG14.10!AO19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f>DataG14.9!K49</f>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DataG14.9!L49</f>
        <v>0.15668960341088622</v>
      </c>
      <c r="P48" s="6">
        <v>0.15668976464323323</v>
      </c>
      <c r="Q48" s="35">
        <f>O48-P48</f>
        <v>-1.612323470012722E-7</v>
      </c>
      <c r="R48" s="6">
        <v>0.12417659145486251</v>
      </c>
      <c r="S48" s="6">
        <v>0.18920261536690994</v>
      </c>
      <c r="T48" s="6">
        <v>0.16129667451367932</v>
      </c>
      <c r="U48" s="6">
        <v>0.21703354875766009</v>
      </c>
      <c r="V48" s="6"/>
      <c r="W48" s="6"/>
      <c r="X48" s="8"/>
      <c r="AA48" s="6">
        <f>DataG14.9!R49</f>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DataG14.10!AL20</f>
        <v>0.36033013445368822</v>
      </c>
      <c r="DA48" s="4">
        <f>DataG14.10!AM20</f>
        <v>0.688645922671559</v>
      </c>
      <c r="DB48" s="4">
        <f>DataG14.10!AN20</f>
        <v>0.32831578821787077</v>
      </c>
      <c r="DC48" s="4">
        <f>DataG14.10!AO20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DataG14.9!K54</f>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DataG14.9!L54</f>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f>DataG14.9!R54</f>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f>DataG14.9!Y54</f>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DataG14.9!AH54</f>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DataG14.10!AL21</f>
        <v>0.29310273641304602</v>
      </c>
      <c r="DA53" s="4">
        <f>DataG14.10!AM21</f>
        <v>0.67422985292323911</v>
      </c>
      <c r="DB53" s="4">
        <f>DataG14.10!AN21</f>
        <v>0.3811271165101931</v>
      </c>
      <c r="DC53" s="4">
        <f>DataG14.10!AO21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DataG14.9!K59</f>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DataG14.9!L59</f>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f>DataG14.9!R59</f>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f>DataG14.9!Y59</f>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DataG14.9!AH59-0.02</f>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DataG14.10!AL22</f>
        <v>0.29492398071226927</v>
      </c>
      <c r="DA58" s="4">
        <f>DataG14.10!AM22</f>
        <v>0.63270807891017344</v>
      </c>
      <c r="DB58" s="4">
        <f>DataG14.10!AN22</f>
        <v>0.33778409819790417</v>
      </c>
      <c r="DC58" s="4">
        <f>DataG14.10!AO22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DataG14.9!K64</f>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DataG14.9!L64</f>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f>DataG14.9!R64</f>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f>DataG14.9!Y64</f>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DataG14.9!AH64</f>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DataG14.10!AL23</f>
        <v>0.30550438983371714</v>
      </c>
      <c r="DA63" s="4">
        <f>DataG14.10!AM23</f>
        <v>0.70890752299422066</v>
      </c>
      <c r="DB63" s="4">
        <f>DataG14.10!AN23</f>
        <v>0.40340313316050352</v>
      </c>
      <c r="DC63" s="4">
        <f>DataG14.10!AO23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DataG14.9!K69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DataG14.9!L69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DataG14.9!R69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f>DataG14.9!Y69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DataG14.9!AH69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63" t="s">
        <v>103</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5"/>
    </row>
    <row r="74" spans="1:120" x14ac:dyDescent="0.3">
      <c r="A74" s="166"/>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8"/>
    </row>
    <row r="75" spans="1:120" x14ac:dyDescent="0.3">
      <c r="A75" s="169" t="s">
        <v>102</v>
      </c>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1"/>
    </row>
    <row r="77" spans="1:120" ht="15.6" x14ac:dyDescent="0.3">
      <c r="A77" s="1" t="s">
        <v>101</v>
      </c>
    </row>
    <row r="78" spans="1:120" ht="15.6" x14ac:dyDescent="0.3">
      <c r="A78" s="1" t="s">
        <v>100</v>
      </c>
    </row>
  </sheetData>
  <mergeCells count="12">
    <mergeCell ref="A73:BG74"/>
    <mergeCell ref="A75:BG75"/>
    <mergeCell ref="A3:AK3"/>
    <mergeCell ref="A4:A5"/>
    <mergeCell ref="O4:Z4"/>
    <mergeCell ref="AW4:BG4"/>
    <mergeCell ref="BH4:BR4"/>
    <mergeCell ref="BS4:CC4"/>
    <mergeCell ref="CD4:CN4"/>
    <mergeCell ref="CO4:CY4"/>
    <mergeCell ref="B4:N4"/>
    <mergeCell ref="AA4:AK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120" zoomScaleNormal="120" zoomScalePageLayoutView="150" workbookViewId="0"/>
  </sheetViews>
  <sheetFormatPr baseColWidth="10" defaultRowHeight="15.6" x14ac:dyDescent="0.3"/>
  <cols>
    <col min="1" max="1" width="11.5546875" style="67"/>
    <col min="2" max="2" width="14.77734375" style="67" customWidth="1"/>
    <col min="3" max="3" width="15.21875" style="67" customWidth="1"/>
    <col min="4" max="13" width="11.5546875" style="67"/>
    <col min="14" max="14" width="15.77734375" style="67" customWidth="1"/>
    <col min="15" max="16384" width="11.5546875" style="67"/>
  </cols>
  <sheetData>
    <row r="1" spans="1:18" x14ac:dyDescent="0.3">
      <c r="A1" s="29" t="s">
        <v>233</v>
      </c>
    </row>
    <row r="3" spans="1:18" x14ac:dyDescent="0.3">
      <c r="A3" s="76"/>
      <c r="B3" s="76" t="s">
        <v>229</v>
      </c>
      <c r="C3" s="76"/>
      <c r="D3" s="76"/>
      <c r="E3" s="76"/>
      <c r="F3" s="76" t="s">
        <v>228</v>
      </c>
      <c r="G3" s="76"/>
      <c r="H3" s="76"/>
      <c r="I3" s="76" t="s">
        <v>227</v>
      </c>
      <c r="J3" s="76"/>
      <c r="K3" s="76"/>
      <c r="L3" s="76"/>
      <c r="M3" s="76"/>
      <c r="N3" s="76" t="s">
        <v>226</v>
      </c>
      <c r="O3" s="76"/>
      <c r="P3" s="76"/>
      <c r="Q3" s="77" t="s">
        <v>225</v>
      </c>
      <c r="R3" s="76"/>
    </row>
    <row r="4" spans="1:18" x14ac:dyDescent="0.3">
      <c r="A4" s="76"/>
      <c r="B4" s="76" t="s">
        <v>224</v>
      </c>
      <c r="C4" s="76" t="s">
        <v>223</v>
      </c>
      <c r="D4" s="77" t="s">
        <v>220</v>
      </c>
      <c r="E4" s="77"/>
      <c r="F4" s="77" t="s">
        <v>220</v>
      </c>
      <c r="G4" s="77"/>
      <c r="H4" s="76"/>
      <c r="I4" s="78" t="s">
        <v>222</v>
      </c>
      <c r="J4" s="78" t="s">
        <v>221</v>
      </c>
      <c r="K4" s="77" t="s">
        <v>220</v>
      </c>
      <c r="L4" s="76"/>
      <c r="M4" s="76"/>
      <c r="N4" s="78" t="s">
        <v>219</v>
      </c>
      <c r="O4" s="78" t="s">
        <v>218</v>
      </c>
      <c r="P4" s="76"/>
      <c r="Q4" s="77" t="s">
        <v>217</v>
      </c>
      <c r="R4" s="76" t="s">
        <v>216</v>
      </c>
    </row>
    <row r="5" spans="1:18" x14ac:dyDescent="0.3">
      <c r="A5" s="78">
        <v>2000</v>
      </c>
      <c r="B5" s="79">
        <f>52.47/6.55957</f>
        <v>7.9989999344469229</v>
      </c>
      <c r="C5" s="79">
        <f t="shared" ref="C5:C23" si="0">N$23*B5/N5</f>
        <v>10.284208568549461</v>
      </c>
      <c r="D5" s="80">
        <f t="shared" ref="D5:D23" si="1">100*C5/C$13</f>
        <v>83.413626521844236</v>
      </c>
      <c r="E5" s="78">
        <v>2000</v>
      </c>
      <c r="F5" s="80">
        <f t="shared" ref="F5:F23" si="2">100*D5/K5</f>
        <v>87.286960961648447</v>
      </c>
      <c r="G5" s="80"/>
      <c r="H5" s="78" t="s">
        <v>215</v>
      </c>
      <c r="I5" s="78">
        <v>2132</v>
      </c>
      <c r="J5" s="78"/>
      <c r="K5" s="80">
        <f t="shared" ref="K5:K23" si="3">100*I5/I$13</f>
        <v>95.562528014343343</v>
      </c>
      <c r="L5" s="76"/>
      <c r="M5" s="78">
        <v>2000</v>
      </c>
      <c r="N5" s="78">
        <v>0.79500000000000004</v>
      </c>
      <c r="O5" s="78"/>
      <c r="P5" s="78">
        <v>2000</v>
      </c>
      <c r="Q5" s="80">
        <v>32566</v>
      </c>
      <c r="R5" s="81">
        <f t="shared" ref="R5:R23" si="4">100*Q5/Q$13</f>
        <v>95.515471476756119</v>
      </c>
    </row>
    <row r="6" spans="1:18" x14ac:dyDescent="0.3">
      <c r="A6" s="78">
        <v>2001</v>
      </c>
      <c r="B6" s="79">
        <f>56.05/6.55057</f>
        <v>8.5565072963116187</v>
      </c>
      <c r="C6" s="79">
        <f t="shared" si="0"/>
        <v>10.783952890521979</v>
      </c>
      <c r="D6" s="80">
        <f t="shared" si="1"/>
        <v>87.466975493869938</v>
      </c>
      <c r="E6" s="78">
        <v>2001</v>
      </c>
      <c r="F6" s="80">
        <f t="shared" si="2"/>
        <v>90.952608868246955</v>
      </c>
      <c r="G6" s="76"/>
      <c r="H6" s="78" t="s">
        <v>214</v>
      </c>
      <c r="I6" s="80">
        <f>(I5+I7)/2</f>
        <v>2145.5</v>
      </c>
      <c r="J6" s="82">
        <f t="shared" ref="J6:J23" si="5">I6/I5-1</f>
        <v>6.3320825515946755E-3</v>
      </c>
      <c r="K6" s="80">
        <f t="shared" si="3"/>
        <v>96.167637830569248</v>
      </c>
      <c r="L6" s="76"/>
      <c r="M6" s="78">
        <v>2001</v>
      </c>
      <c r="N6" s="78">
        <v>0.81100000000000005</v>
      </c>
      <c r="O6" s="82">
        <f t="shared" ref="O6:O23" si="6">N6/N5-1</f>
        <v>2.0125786163522008E-2</v>
      </c>
      <c r="P6" s="78">
        <v>2001</v>
      </c>
      <c r="Q6" s="80">
        <v>32785</v>
      </c>
      <c r="R6" s="81">
        <f t="shared" si="4"/>
        <v>96.157794398005578</v>
      </c>
    </row>
    <row r="7" spans="1:18" x14ac:dyDescent="0.3">
      <c r="A7" s="78">
        <v>2002</v>
      </c>
      <c r="B7" s="78">
        <v>8.6999999999999993</v>
      </c>
      <c r="C7" s="79">
        <f t="shared" si="0"/>
        <v>10.752663482466746</v>
      </c>
      <c r="D7" s="80">
        <f t="shared" si="1"/>
        <v>87.213191940161153</v>
      </c>
      <c r="E7" s="78">
        <v>2002</v>
      </c>
      <c r="F7" s="80">
        <f t="shared" si="2"/>
        <v>90.121644844140604</v>
      </c>
      <c r="G7" s="76"/>
      <c r="H7" s="78" t="s">
        <v>213</v>
      </c>
      <c r="I7" s="78">
        <v>2159</v>
      </c>
      <c r="J7" s="82">
        <f t="shared" si="5"/>
        <v>6.2922395711955126E-3</v>
      </c>
      <c r="K7" s="80">
        <f t="shared" si="3"/>
        <v>96.772747646795153</v>
      </c>
      <c r="L7" s="76"/>
      <c r="M7" s="78">
        <v>2002</v>
      </c>
      <c r="N7" s="78">
        <v>0.82699999999999996</v>
      </c>
      <c r="O7" s="82">
        <f t="shared" si="6"/>
        <v>1.9728729963008451E-2</v>
      </c>
      <c r="P7" s="78">
        <v>2002</v>
      </c>
      <c r="Q7" s="80">
        <v>32466</v>
      </c>
      <c r="R7" s="81">
        <f t="shared" si="4"/>
        <v>95.222173339199301</v>
      </c>
    </row>
    <row r="8" spans="1:18" x14ac:dyDescent="0.3">
      <c r="A8" s="78">
        <v>2003</v>
      </c>
      <c r="B8" s="78">
        <v>8.8000000000000007</v>
      </c>
      <c r="C8" s="79">
        <f t="shared" si="0"/>
        <v>10.669827758007116</v>
      </c>
      <c r="D8" s="80">
        <f t="shared" si="1"/>
        <v>86.541324179342624</v>
      </c>
      <c r="E8" s="78">
        <v>2003</v>
      </c>
      <c r="F8" s="80">
        <f t="shared" si="2"/>
        <v>87.442796306210781</v>
      </c>
      <c r="G8" s="76"/>
      <c r="H8" s="78" t="s">
        <v>212</v>
      </c>
      <c r="I8" s="78">
        <v>2208</v>
      </c>
      <c r="J8" s="82">
        <f t="shared" si="5"/>
        <v>2.2695692450208416E-2</v>
      </c>
      <c r="K8" s="80">
        <f t="shared" si="3"/>
        <v>98.969072164948457</v>
      </c>
      <c r="L8" s="76"/>
      <c r="M8" s="78">
        <v>2003</v>
      </c>
      <c r="N8" s="78">
        <v>0.84299999999999997</v>
      </c>
      <c r="O8" s="82">
        <f t="shared" si="6"/>
        <v>1.9347037484885199E-2</v>
      </c>
      <c r="P8" s="78">
        <v>2003</v>
      </c>
      <c r="Q8" s="80">
        <v>32459</v>
      </c>
      <c r="R8" s="81">
        <f t="shared" si="4"/>
        <v>95.201642469570317</v>
      </c>
    </row>
    <row r="9" spans="1:18" x14ac:dyDescent="0.3">
      <c r="A9" s="78">
        <v>2004</v>
      </c>
      <c r="B9" s="78">
        <v>9.1</v>
      </c>
      <c r="C9" s="79">
        <f t="shared" si="0"/>
        <v>10.8533268378063</v>
      </c>
      <c r="D9" s="80">
        <f t="shared" si="1"/>
        <v>88.029656860214175</v>
      </c>
      <c r="E9" s="78">
        <v>2004</v>
      </c>
      <c r="F9" s="80">
        <f t="shared" si="2"/>
        <v>87.054150910965348</v>
      </c>
      <c r="G9" s="76"/>
      <c r="H9" s="78" t="s">
        <v>211</v>
      </c>
      <c r="I9" s="78">
        <v>2256</v>
      </c>
      <c r="J9" s="82">
        <f t="shared" si="5"/>
        <v>2.1739130434782705E-2</v>
      </c>
      <c r="K9" s="80">
        <f t="shared" si="3"/>
        <v>101.12057373375168</v>
      </c>
      <c r="L9" s="76"/>
      <c r="M9" s="78">
        <v>2004</v>
      </c>
      <c r="N9" s="78">
        <v>0.85699999999999998</v>
      </c>
      <c r="O9" s="82">
        <f t="shared" si="6"/>
        <v>1.6607354685646447E-2</v>
      </c>
      <c r="P9" s="78">
        <v>2004</v>
      </c>
      <c r="Q9" s="80">
        <v>33149</v>
      </c>
      <c r="R9" s="81">
        <f t="shared" si="4"/>
        <v>97.225399618712416</v>
      </c>
    </row>
    <row r="10" spans="1:18" x14ac:dyDescent="0.3">
      <c r="A10" s="78">
        <v>2005</v>
      </c>
      <c r="B10" s="78">
        <v>9.1999999999999993</v>
      </c>
      <c r="C10" s="79">
        <f t="shared" si="0"/>
        <v>10.771492783505151</v>
      </c>
      <c r="D10" s="80">
        <f t="shared" si="1"/>
        <v>87.365913491266994</v>
      </c>
      <c r="E10" s="78">
        <v>2005</v>
      </c>
      <c r="F10" s="80">
        <f t="shared" si="2"/>
        <v>85.864913215425844</v>
      </c>
      <c r="G10" s="76"/>
      <c r="H10" s="78" t="s">
        <v>210</v>
      </c>
      <c r="I10" s="78">
        <v>2270</v>
      </c>
      <c r="J10" s="82">
        <f t="shared" si="5"/>
        <v>6.20567375886516E-3</v>
      </c>
      <c r="K10" s="80">
        <f t="shared" si="3"/>
        <v>101.74809502465263</v>
      </c>
      <c r="L10" s="76"/>
      <c r="M10" s="78">
        <v>2005</v>
      </c>
      <c r="N10" s="78">
        <v>0.873</v>
      </c>
      <c r="O10" s="82">
        <f t="shared" si="6"/>
        <v>1.8669778296382722E-2</v>
      </c>
      <c r="P10" s="78">
        <v>2005</v>
      </c>
      <c r="Q10" s="80">
        <v>33443</v>
      </c>
      <c r="R10" s="81">
        <f t="shared" si="4"/>
        <v>98.087696143129492</v>
      </c>
    </row>
    <row r="11" spans="1:18" x14ac:dyDescent="0.3">
      <c r="A11" s="78">
        <v>2006</v>
      </c>
      <c r="B11" s="78">
        <v>10.199999999999999</v>
      </c>
      <c r="C11" s="79">
        <f t="shared" si="0"/>
        <v>11.687930717488786</v>
      </c>
      <c r="D11" s="80">
        <f t="shared" si="1"/>
        <v>94.798999960315868</v>
      </c>
      <c r="E11" s="78">
        <v>2006</v>
      </c>
      <c r="F11" s="80">
        <f t="shared" si="2"/>
        <v>92.639758612117703</v>
      </c>
      <c r="G11" s="76"/>
      <c r="H11" s="78" t="s">
        <v>209</v>
      </c>
      <c r="I11" s="78">
        <v>2283</v>
      </c>
      <c r="J11" s="82">
        <f t="shared" si="5"/>
        <v>5.726872246696102E-3</v>
      </c>
      <c r="K11" s="80">
        <f t="shared" si="3"/>
        <v>102.33079336620349</v>
      </c>
      <c r="L11" s="76"/>
      <c r="M11" s="78">
        <v>2006</v>
      </c>
      <c r="N11" s="78">
        <v>0.89200000000000002</v>
      </c>
      <c r="O11" s="82">
        <f t="shared" si="6"/>
        <v>2.1764032073310347E-2</v>
      </c>
      <c r="P11" s="78">
        <v>2006</v>
      </c>
      <c r="Q11" s="80">
        <v>33978</v>
      </c>
      <c r="R11" s="81">
        <f t="shared" si="4"/>
        <v>99.656841179058517</v>
      </c>
    </row>
    <row r="12" spans="1:18" x14ac:dyDescent="0.3">
      <c r="A12" s="78">
        <v>2007</v>
      </c>
      <c r="B12" s="78">
        <v>10.7</v>
      </c>
      <c r="C12" s="79">
        <f t="shared" si="0"/>
        <v>11.952671803278685</v>
      </c>
      <c r="D12" s="80">
        <f t="shared" si="1"/>
        <v>96.946273997775506</v>
      </c>
      <c r="E12" s="78">
        <v>2007</v>
      </c>
      <c r="F12" s="80">
        <f t="shared" si="2"/>
        <v>95.957026303920642</v>
      </c>
      <c r="G12" s="76"/>
      <c r="H12" s="78" t="s">
        <v>208</v>
      </c>
      <c r="I12" s="78">
        <v>2254</v>
      </c>
      <c r="J12" s="82">
        <f t="shared" si="5"/>
        <v>-1.2702584318878718E-2</v>
      </c>
      <c r="K12" s="80">
        <f t="shared" si="3"/>
        <v>101.03092783505154</v>
      </c>
      <c r="L12" s="76"/>
      <c r="M12" s="78">
        <v>2007</v>
      </c>
      <c r="N12" s="78">
        <v>0.91500000000000004</v>
      </c>
      <c r="O12" s="82">
        <f t="shared" si="6"/>
        <v>2.5784753363228718E-2</v>
      </c>
      <c r="P12" s="78">
        <v>2007</v>
      </c>
      <c r="Q12" s="80">
        <v>34495</v>
      </c>
      <c r="R12" s="81">
        <f t="shared" si="4"/>
        <v>101.17319255022731</v>
      </c>
    </row>
    <row r="13" spans="1:18" x14ac:dyDescent="0.3">
      <c r="A13" s="78">
        <v>2008</v>
      </c>
      <c r="B13" s="78">
        <v>11.3</v>
      </c>
      <c r="C13" s="79">
        <f t="shared" si="0"/>
        <v>12.329170900939367</v>
      </c>
      <c r="D13" s="80">
        <f t="shared" si="1"/>
        <v>100</v>
      </c>
      <c r="E13" s="78">
        <v>2008</v>
      </c>
      <c r="F13" s="80">
        <f t="shared" si="2"/>
        <v>100</v>
      </c>
      <c r="G13" s="76"/>
      <c r="H13" s="78" t="s">
        <v>207</v>
      </c>
      <c r="I13" s="78">
        <v>2231</v>
      </c>
      <c r="J13" s="82">
        <f t="shared" si="5"/>
        <v>-1.0204081632653073E-2</v>
      </c>
      <c r="K13" s="80">
        <f t="shared" si="3"/>
        <v>100</v>
      </c>
      <c r="L13" s="76"/>
      <c r="M13" s="78">
        <v>2008</v>
      </c>
      <c r="N13" s="83">
        <v>0.93679999999999997</v>
      </c>
      <c r="O13" s="82">
        <f t="shared" si="6"/>
        <v>2.382513661202168E-2</v>
      </c>
      <c r="P13" s="78">
        <v>2008</v>
      </c>
      <c r="Q13" s="80">
        <v>34095</v>
      </c>
      <c r="R13" s="81">
        <f t="shared" si="4"/>
        <v>100</v>
      </c>
    </row>
    <row r="14" spans="1:18" x14ac:dyDescent="0.3">
      <c r="A14" s="78">
        <v>2009</v>
      </c>
      <c r="B14" s="78">
        <v>11.7</v>
      </c>
      <c r="C14" s="79">
        <f t="shared" si="0"/>
        <v>12.753349365468697</v>
      </c>
      <c r="D14" s="80">
        <f t="shared" si="1"/>
        <v>103.44044597919405</v>
      </c>
      <c r="E14" s="78">
        <v>2009</v>
      </c>
      <c r="F14" s="80">
        <f t="shared" si="2"/>
        <v>102.38493122430431</v>
      </c>
      <c r="G14" s="76"/>
      <c r="H14" s="78" t="s">
        <v>206</v>
      </c>
      <c r="I14" s="78">
        <v>2254</v>
      </c>
      <c r="J14" s="82">
        <f t="shared" si="5"/>
        <v>1.0309278350515427E-2</v>
      </c>
      <c r="K14" s="80">
        <f t="shared" si="3"/>
        <v>101.03092783505154</v>
      </c>
      <c r="L14" s="76"/>
      <c r="M14" s="78">
        <v>2009</v>
      </c>
      <c r="N14" s="83">
        <v>0.93769999999999998</v>
      </c>
      <c r="O14" s="82">
        <f t="shared" si="6"/>
        <v>9.6071733561053918E-4</v>
      </c>
      <c r="P14" s="78">
        <v>2009</v>
      </c>
      <c r="Q14" s="80">
        <v>32466</v>
      </c>
      <c r="R14" s="81">
        <f t="shared" si="4"/>
        <v>95.222173339199301</v>
      </c>
    </row>
    <row r="15" spans="1:18" x14ac:dyDescent="0.3">
      <c r="A15" s="78">
        <v>2010</v>
      </c>
      <c r="B15" s="78">
        <v>12.2</v>
      </c>
      <c r="C15" s="79">
        <f t="shared" si="0"/>
        <v>13.155265534339064</v>
      </c>
      <c r="D15" s="80">
        <f t="shared" si="1"/>
        <v>106.70032591840183</v>
      </c>
      <c r="E15" s="78">
        <v>2010</v>
      </c>
      <c r="F15" s="80">
        <f t="shared" si="2"/>
        <v>102.87313185996304</v>
      </c>
      <c r="G15" s="76"/>
      <c r="H15" s="78" t="s">
        <v>205</v>
      </c>
      <c r="I15" s="78">
        <v>2314</v>
      </c>
      <c r="J15" s="82">
        <f t="shared" si="5"/>
        <v>2.6619343389529648E-2</v>
      </c>
      <c r="K15" s="80">
        <f t="shared" si="3"/>
        <v>103.72030479605559</v>
      </c>
      <c r="L15" s="76"/>
      <c r="M15" s="78">
        <v>2010</v>
      </c>
      <c r="N15" s="83">
        <v>0.94789999999999996</v>
      </c>
      <c r="O15" s="82">
        <f t="shared" si="6"/>
        <v>1.0877679428388687E-2</v>
      </c>
      <c r="P15" s="78">
        <v>2010</v>
      </c>
      <c r="Q15" s="80">
        <v>33077</v>
      </c>
      <c r="R15" s="81">
        <f t="shared" si="4"/>
        <v>97.014224959671509</v>
      </c>
    </row>
    <row r="16" spans="1:18" x14ac:dyDescent="0.3">
      <c r="A16" s="78">
        <v>2011</v>
      </c>
      <c r="B16" s="78">
        <v>12.3</v>
      </c>
      <c r="C16" s="79">
        <f t="shared" si="0"/>
        <v>13.139724393812708</v>
      </c>
      <c r="D16" s="80">
        <f t="shared" si="1"/>
        <v>106.5742741291029</v>
      </c>
      <c r="E16" s="78">
        <v>2011</v>
      </c>
      <c r="F16" s="80">
        <f t="shared" si="2"/>
        <v>102.48586447501232</v>
      </c>
      <c r="G16" s="76"/>
      <c r="H16" s="78" t="s">
        <v>204</v>
      </c>
      <c r="I16" s="78">
        <v>2320</v>
      </c>
      <c r="J16" s="82">
        <f t="shared" si="5"/>
        <v>2.5929127052721768E-3</v>
      </c>
      <c r="K16" s="80">
        <f t="shared" si="3"/>
        <v>103.98924249215598</v>
      </c>
      <c r="L16" s="76"/>
      <c r="M16" s="78">
        <v>2011</v>
      </c>
      <c r="N16" s="83">
        <v>0.95679999999999998</v>
      </c>
      <c r="O16" s="82">
        <f t="shared" si="6"/>
        <v>9.389176073425487E-3</v>
      </c>
      <c r="P16" s="78">
        <v>2011</v>
      </c>
      <c r="Q16" s="80">
        <v>33621</v>
      </c>
      <c r="R16" s="81">
        <f t="shared" si="4"/>
        <v>98.609766827980636</v>
      </c>
    </row>
    <row r="17" spans="1:18" x14ac:dyDescent="0.3">
      <c r="A17" s="78">
        <v>2012</v>
      </c>
      <c r="B17" s="78">
        <v>12.6</v>
      </c>
      <c r="C17" s="79">
        <f t="shared" si="0"/>
        <v>13.305842132451698</v>
      </c>
      <c r="D17" s="80">
        <f t="shared" si="1"/>
        <v>107.92162943769331</v>
      </c>
      <c r="E17" s="78">
        <v>2012</v>
      </c>
      <c r="F17" s="80">
        <f t="shared" si="2"/>
        <v>102.41308178455712</v>
      </c>
      <c r="G17" s="76"/>
      <c r="H17" s="78" t="s">
        <v>203</v>
      </c>
      <c r="I17" s="78">
        <v>2351</v>
      </c>
      <c r="J17" s="82">
        <f t="shared" si="5"/>
        <v>1.3362068965517171E-2</v>
      </c>
      <c r="K17" s="80">
        <f t="shared" si="3"/>
        <v>105.37875392200807</v>
      </c>
      <c r="L17" s="76"/>
      <c r="M17" s="78">
        <v>2012</v>
      </c>
      <c r="N17" s="83">
        <v>0.96789999999999998</v>
      </c>
      <c r="O17" s="82">
        <f t="shared" si="6"/>
        <v>1.1601170568561914E-2</v>
      </c>
      <c r="P17" s="78">
        <v>2012</v>
      </c>
      <c r="Q17" s="80">
        <v>33068</v>
      </c>
      <c r="R17" s="81">
        <f t="shared" si="4"/>
        <v>96.987828127291394</v>
      </c>
    </row>
    <row r="18" spans="1:18" x14ac:dyDescent="0.3">
      <c r="A18" s="78">
        <v>2013</v>
      </c>
      <c r="B18" s="78">
        <v>12.8</v>
      </c>
      <c r="C18" s="79">
        <f t="shared" si="0"/>
        <v>13.413111338937869</v>
      </c>
      <c r="D18" s="80">
        <f t="shared" si="1"/>
        <v>108.79167339562076</v>
      </c>
      <c r="E18" s="78">
        <v>2013</v>
      </c>
      <c r="F18" s="80">
        <f t="shared" si="2"/>
        <v>102.02363318437575</v>
      </c>
      <c r="G18" s="76"/>
      <c r="H18" s="78" t="s">
        <v>202</v>
      </c>
      <c r="I18" s="78">
        <v>2379</v>
      </c>
      <c r="J18" s="82">
        <f t="shared" si="5"/>
        <v>1.1909825606124969E-2</v>
      </c>
      <c r="K18" s="80">
        <f t="shared" si="3"/>
        <v>106.63379650380995</v>
      </c>
      <c r="L18" s="76"/>
      <c r="M18" s="78">
        <v>2013</v>
      </c>
      <c r="N18" s="83">
        <v>0.97540000000000004</v>
      </c>
      <c r="O18" s="82">
        <f t="shared" si="6"/>
        <v>7.7487343733857461E-3</v>
      </c>
      <c r="P18" s="78">
        <v>2013</v>
      </c>
      <c r="Q18" s="80">
        <v>33162</v>
      </c>
      <c r="R18" s="81">
        <f t="shared" si="4"/>
        <v>97.263528376594806</v>
      </c>
    </row>
    <row r="19" spans="1:18" x14ac:dyDescent="0.3">
      <c r="A19" s="78">
        <v>2014</v>
      </c>
      <c r="B19" s="78">
        <v>12.9</v>
      </c>
      <c r="C19" s="79">
        <f t="shared" si="0"/>
        <v>13.440734862385318</v>
      </c>
      <c r="D19" s="80">
        <f t="shared" si="1"/>
        <v>109.0157235257503</v>
      </c>
      <c r="E19" s="78">
        <v>2014</v>
      </c>
      <c r="F19" s="80">
        <f t="shared" si="2"/>
        <v>100.00578913895926</v>
      </c>
      <c r="G19" s="76"/>
      <c r="H19" s="78" t="s">
        <v>201</v>
      </c>
      <c r="I19" s="78">
        <v>2432</v>
      </c>
      <c r="J19" s="82">
        <f t="shared" si="5"/>
        <v>2.2278268179907634E-2</v>
      </c>
      <c r="K19" s="80">
        <f t="shared" si="3"/>
        <v>109.00941281936352</v>
      </c>
      <c r="L19" s="76"/>
      <c r="M19" s="78">
        <v>2014</v>
      </c>
      <c r="N19" s="83">
        <v>0.98099999999999998</v>
      </c>
      <c r="O19" s="82">
        <f t="shared" si="6"/>
        <v>5.7412343653884257E-3</v>
      </c>
      <c r="P19" s="78">
        <v>2014</v>
      </c>
      <c r="Q19" s="80">
        <v>33359</v>
      </c>
      <c r="R19" s="81">
        <f t="shared" si="4"/>
        <v>97.84132570758176</v>
      </c>
    </row>
    <row r="20" spans="1:18" x14ac:dyDescent="0.3">
      <c r="A20" s="78">
        <v>2015</v>
      </c>
      <c r="B20" s="78">
        <v>12.7</v>
      </c>
      <c r="C20" s="79">
        <f t="shared" si="0"/>
        <v>13.089580215791063</v>
      </c>
      <c r="D20" s="80">
        <f t="shared" si="1"/>
        <v>106.16756244974883</v>
      </c>
      <c r="E20" s="78">
        <v>2015</v>
      </c>
      <c r="F20" s="80">
        <f t="shared" si="2"/>
        <v>95.855860714443395</v>
      </c>
      <c r="G20" s="76"/>
      <c r="H20" s="78" t="s">
        <v>200</v>
      </c>
      <c r="I20" s="78">
        <v>2471</v>
      </c>
      <c r="J20" s="82">
        <f t="shared" si="5"/>
        <v>1.6036184210526327E-2</v>
      </c>
      <c r="K20" s="80">
        <f t="shared" si="3"/>
        <v>110.75750784401613</v>
      </c>
      <c r="L20" s="76"/>
      <c r="M20" s="78">
        <v>2015</v>
      </c>
      <c r="N20" s="83">
        <v>0.99170000000000003</v>
      </c>
      <c r="O20" s="82">
        <f t="shared" si="6"/>
        <v>1.0907237512742141E-2</v>
      </c>
      <c r="P20" s="78">
        <v>2015</v>
      </c>
      <c r="Q20" s="80">
        <v>33631</v>
      </c>
      <c r="R20" s="81">
        <f t="shared" si="4"/>
        <v>98.63909664173633</v>
      </c>
    </row>
    <row r="21" spans="1:18" x14ac:dyDescent="0.3">
      <c r="A21" s="78">
        <v>2016</v>
      </c>
      <c r="B21" s="78">
        <v>12.9</v>
      </c>
      <c r="C21" s="79">
        <f t="shared" si="0"/>
        <v>13.185360899999997</v>
      </c>
      <c r="D21" s="80">
        <f t="shared" si="1"/>
        <v>106.94442477876106</v>
      </c>
      <c r="E21" s="78">
        <v>2016</v>
      </c>
      <c r="F21" s="80">
        <f t="shared" si="2"/>
        <v>93.529208812785541</v>
      </c>
      <c r="G21" s="76"/>
      <c r="H21" s="78" t="s">
        <v>199</v>
      </c>
      <c r="I21" s="78">
        <v>2551</v>
      </c>
      <c r="J21" s="82">
        <f t="shared" si="5"/>
        <v>3.2375556454876664E-2</v>
      </c>
      <c r="K21" s="80">
        <f t="shared" si="3"/>
        <v>114.34334379202151</v>
      </c>
      <c r="L21" s="76"/>
      <c r="M21" s="78">
        <v>2016</v>
      </c>
      <c r="N21" s="83">
        <v>1</v>
      </c>
      <c r="O21" s="82">
        <f t="shared" si="6"/>
        <v>8.3694665725522199E-3</v>
      </c>
      <c r="P21" s="78">
        <v>2016</v>
      </c>
      <c r="Q21" s="80">
        <v>33962</v>
      </c>
      <c r="R21" s="81">
        <f t="shared" si="4"/>
        <v>99.609913477049417</v>
      </c>
    </row>
    <row r="22" spans="1:18" x14ac:dyDescent="0.3">
      <c r="A22" s="78">
        <v>2017</v>
      </c>
      <c r="B22" s="78">
        <v>13.3</v>
      </c>
      <c r="C22" s="79">
        <f t="shared" si="0"/>
        <v>13.446300000000001</v>
      </c>
      <c r="D22" s="80">
        <f t="shared" si="1"/>
        <v>109.06086149698451</v>
      </c>
      <c r="E22" s="78">
        <v>2017</v>
      </c>
      <c r="F22" s="80">
        <f t="shared" si="2"/>
        <v>93.224054406043081</v>
      </c>
      <c r="G22" s="76"/>
      <c r="H22" s="78" t="s">
        <v>198</v>
      </c>
      <c r="I22" s="78">
        <v>2610</v>
      </c>
      <c r="J22" s="82">
        <f t="shared" si="5"/>
        <v>2.3128185025480308E-2</v>
      </c>
      <c r="K22" s="80">
        <f t="shared" si="3"/>
        <v>116.98789780367548</v>
      </c>
      <c r="L22" s="76"/>
      <c r="M22" s="78">
        <v>2017</v>
      </c>
      <c r="N22" s="83">
        <f>N21*1.011</f>
        <v>1.0109999999999999</v>
      </c>
      <c r="O22" s="82">
        <f t="shared" si="6"/>
        <v>1.0999999999999899E-2</v>
      </c>
      <c r="P22" s="78">
        <v>2017</v>
      </c>
      <c r="Q22" s="80">
        <f>Q21*1.01</f>
        <v>34301.620000000003</v>
      </c>
      <c r="R22" s="81">
        <f t="shared" si="4"/>
        <v>100.60601261181993</v>
      </c>
    </row>
    <row r="23" spans="1:18" x14ac:dyDescent="0.3">
      <c r="A23" s="78">
        <v>2018</v>
      </c>
      <c r="B23" s="78">
        <v>13.4</v>
      </c>
      <c r="C23" s="79">
        <f t="shared" si="0"/>
        <v>13.4</v>
      </c>
      <c r="D23" s="80">
        <f t="shared" si="1"/>
        <v>108.68532935153851</v>
      </c>
      <c r="E23" s="78">
        <v>2018</v>
      </c>
      <c r="F23" s="80">
        <f t="shared" si="2"/>
        <v>90.814324102456681</v>
      </c>
      <c r="G23" s="76"/>
      <c r="H23" s="78" t="s">
        <v>197</v>
      </c>
      <c r="I23" s="80">
        <f>I22*1.023</f>
        <v>2670.0299999999997</v>
      </c>
      <c r="J23" s="82">
        <f t="shared" si="5"/>
        <v>2.2999999999999909E-2</v>
      </c>
      <c r="K23" s="80">
        <f t="shared" si="3"/>
        <v>119.67861945316002</v>
      </c>
      <c r="L23" s="76"/>
      <c r="M23" s="78">
        <v>2018</v>
      </c>
      <c r="N23" s="83">
        <f>N22*1.011</f>
        <v>1.0221209999999998</v>
      </c>
      <c r="O23" s="82">
        <f t="shared" si="6"/>
        <v>1.0999999999999899E-2</v>
      </c>
      <c r="P23" s="78">
        <v>2018</v>
      </c>
      <c r="Q23" s="80">
        <f>Q22*1.01</f>
        <v>34644.636200000001</v>
      </c>
      <c r="R23" s="81">
        <f t="shared" si="4"/>
        <v>101.61207273793812</v>
      </c>
    </row>
    <row r="24" spans="1:18" x14ac:dyDescent="0.3">
      <c r="A24" s="76" t="s">
        <v>196</v>
      </c>
      <c r="B24" s="83">
        <f>B23/B13</f>
        <v>1.1858407079646018</v>
      </c>
      <c r="C24" s="83">
        <f>C23/C13</f>
        <v>1.0868532935153852</v>
      </c>
      <c r="D24" s="84"/>
      <c r="E24" s="76"/>
      <c r="F24" s="84"/>
      <c r="G24" s="84"/>
      <c r="H24" s="84"/>
      <c r="I24" s="83">
        <f>I23/I13</f>
        <v>1.1967861945316001</v>
      </c>
      <c r="J24" s="85"/>
      <c r="K24" s="85"/>
      <c r="L24" s="84"/>
      <c r="M24" s="84"/>
      <c r="N24" s="83">
        <f>N23/N13</f>
        <v>1.09107707087959</v>
      </c>
      <c r="O24" s="76"/>
      <c r="P24" s="76"/>
      <c r="Q24" s="76"/>
      <c r="R24" s="76"/>
    </row>
    <row r="25" spans="1:18" x14ac:dyDescent="0.3">
      <c r="A25" s="76"/>
      <c r="B25" s="86"/>
      <c r="C25" s="84"/>
      <c r="D25" s="84"/>
      <c r="E25" s="84"/>
      <c r="F25" s="84"/>
      <c r="G25" s="84"/>
      <c r="H25" s="84"/>
      <c r="I25" s="86"/>
      <c r="J25" s="85"/>
      <c r="K25" s="85"/>
      <c r="L25" s="84"/>
      <c r="M25" s="84"/>
      <c r="N25" s="86"/>
      <c r="O25" s="76"/>
      <c r="P25" s="76"/>
      <c r="Q25" s="76"/>
      <c r="R25" s="76"/>
    </row>
    <row r="26" spans="1:18" x14ac:dyDescent="0.3">
      <c r="A26" s="76" t="s">
        <v>195</v>
      </c>
      <c r="B26" s="76"/>
      <c r="C26" s="76"/>
      <c r="D26" s="76"/>
      <c r="E26" s="76"/>
      <c r="F26" s="76"/>
      <c r="G26" s="76"/>
      <c r="H26" s="76"/>
      <c r="I26" s="76"/>
      <c r="J26" s="76"/>
      <c r="K26" s="76"/>
      <c r="L26" s="76"/>
      <c r="M26" s="76"/>
      <c r="N26" s="76"/>
      <c r="O26" s="76"/>
      <c r="P26" s="76"/>
      <c r="Q26" s="76"/>
      <c r="R26" s="76"/>
    </row>
    <row r="27" spans="1:18" x14ac:dyDescent="0.3">
      <c r="A27" s="77" t="s">
        <v>194</v>
      </c>
      <c r="B27" s="76"/>
      <c r="C27" s="76"/>
      <c r="D27" s="76"/>
      <c r="E27" s="76"/>
      <c r="F27" s="76"/>
      <c r="G27" s="76"/>
      <c r="H27" s="76"/>
      <c r="I27" s="76"/>
      <c r="J27" s="76"/>
      <c r="K27" s="76"/>
      <c r="L27" s="76" t="s">
        <v>193</v>
      </c>
      <c r="M27" s="76"/>
      <c r="N27" s="76"/>
      <c r="O27" s="76"/>
      <c r="P27" s="76"/>
      <c r="Q27" s="76"/>
      <c r="R27" s="76"/>
    </row>
    <row r="28" spans="1:18" x14ac:dyDescent="0.3">
      <c r="A28" s="77" t="s">
        <v>192</v>
      </c>
      <c r="B28" s="76"/>
      <c r="C28" s="76"/>
      <c r="D28" s="76"/>
      <c r="E28" s="76"/>
      <c r="F28" s="76"/>
      <c r="G28" s="76"/>
      <c r="H28" s="76"/>
      <c r="I28" s="76"/>
      <c r="J28" s="76"/>
      <c r="K28" s="76"/>
      <c r="L28" s="76" t="s">
        <v>191</v>
      </c>
      <c r="M28" s="76"/>
      <c r="N28" s="76"/>
      <c r="O28" s="76"/>
      <c r="P28" s="76"/>
      <c r="Q28" s="76"/>
      <c r="R28" s="76"/>
    </row>
    <row r="29" spans="1:18" x14ac:dyDescent="0.3">
      <c r="A29" s="87" t="s">
        <v>190</v>
      </c>
      <c r="B29" s="76"/>
      <c r="C29" s="76"/>
      <c r="D29" s="76"/>
      <c r="E29" s="76"/>
      <c r="F29" s="76"/>
      <c r="G29" s="76"/>
      <c r="H29" s="76"/>
      <c r="I29" s="76"/>
      <c r="J29" s="76"/>
      <c r="K29" s="76"/>
      <c r="L29" s="76" t="s">
        <v>189</v>
      </c>
      <c r="M29" s="76"/>
      <c r="N29" s="76"/>
      <c r="O29" s="76"/>
      <c r="P29" s="76"/>
      <c r="Q29" s="76"/>
      <c r="R29" s="76"/>
    </row>
    <row r="30" spans="1:18" x14ac:dyDescent="0.3">
      <c r="A30" s="87" t="s">
        <v>188</v>
      </c>
      <c r="B30" s="76"/>
      <c r="C30" s="76"/>
      <c r="D30" s="76"/>
      <c r="E30" s="76"/>
      <c r="F30" s="76"/>
      <c r="G30" s="76"/>
      <c r="H30" s="76"/>
      <c r="I30" s="76"/>
      <c r="J30" s="76"/>
      <c r="K30" s="76"/>
      <c r="L30" s="76"/>
      <c r="M30" s="76"/>
      <c r="N30" s="76" t="s">
        <v>187</v>
      </c>
      <c r="O30" s="76"/>
      <c r="P30" s="76"/>
      <c r="Q30" s="76"/>
      <c r="R30" s="76"/>
    </row>
    <row r="31" spans="1:18" x14ac:dyDescent="0.3">
      <c r="A31" s="87" t="s">
        <v>186</v>
      </c>
      <c r="B31" s="76"/>
      <c r="C31" s="76"/>
      <c r="D31" s="76"/>
      <c r="E31" s="76"/>
      <c r="F31" s="76"/>
      <c r="G31" s="76"/>
      <c r="H31" s="76"/>
      <c r="I31" s="76"/>
      <c r="J31" s="76"/>
      <c r="K31" s="76"/>
      <c r="L31" s="76"/>
      <c r="M31" s="76"/>
      <c r="N31" s="76" t="s">
        <v>185</v>
      </c>
      <c r="O31" s="76"/>
      <c r="P31" s="76"/>
      <c r="Q31" s="76"/>
      <c r="R31" s="76"/>
    </row>
    <row r="32" spans="1:18" x14ac:dyDescent="0.3">
      <c r="A32" s="87" t="s">
        <v>184</v>
      </c>
      <c r="B32" s="76"/>
      <c r="C32" s="76"/>
      <c r="D32" s="76"/>
      <c r="E32" s="76"/>
      <c r="F32" s="76"/>
      <c r="G32" s="76"/>
      <c r="H32" s="76"/>
      <c r="I32" s="76"/>
      <c r="J32" s="76"/>
      <c r="K32" s="76"/>
      <c r="L32" s="76"/>
      <c r="M32" s="76"/>
      <c r="N32" s="76" t="s">
        <v>182</v>
      </c>
      <c r="O32" s="76"/>
      <c r="P32" s="76"/>
      <c r="Q32" s="76"/>
      <c r="R32" s="76"/>
    </row>
    <row r="33" spans="1:18" x14ac:dyDescent="0.3">
      <c r="A33" s="87" t="s">
        <v>183</v>
      </c>
      <c r="B33" s="76"/>
      <c r="C33" s="76"/>
      <c r="D33" s="76"/>
      <c r="E33" s="76"/>
      <c r="F33" s="76"/>
      <c r="G33" s="76"/>
      <c r="H33" s="76"/>
      <c r="I33" s="76"/>
      <c r="J33" s="76"/>
      <c r="K33" s="76"/>
      <c r="L33" s="76" t="s">
        <v>182</v>
      </c>
      <c r="M33" s="76"/>
      <c r="N33" s="76"/>
      <c r="O33" s="76"/>
      <c r="P33" s="76"/>
      <c r="Q33" s="76"/>
      <c r="R33" s="76"/>
    </row>
    <row r="34" spans="1:18" x14ac:dyDescent="0.3">
      <c r="A34" s="87" t="s">
        <v>181</v>
      </c>
      <c r="B34" s="76"/>
      <c r="C34" s="76"/>
      <c r="D34" s="76"/>
      <c r="E34" s="76"/>
      <c r="F34" s="76"/>
      <c r="G34" s="76"/>
      <c r="H34" s="76"/>
      <c r="I34" s="76"/>
      <c r="J34" s="76"/>
      <c r="K34" s="76"/>
      <c r="L34" s="76" t="s">
        <v>177</v>
      </c>
      <c r="M34" s="76"/>
      <c r="N34" s="76"/>
      <c r="O34" s="76"/>
      <c r="P34" s="76"/>
      <c r="Q34" s="76"/>
      <c r="R34" s="76"/>
    </row>
    <row r="35" spans="1:18" x14ac:dyDescent="0.3">
      <c r="A35" s="88" t="s">
        <v>180</v>
      </c>
      <c r="B35" s="76"/>
      <c r="C35" s="76"/>
      <c r="D35" s="76"/>
      <c r="E35" s="76"/>
      <c r="F35" s="76"/>
      <c r="G35" s="76"/>
      <c r="H35" s="76"/>
      <c r="I35" s="76"/>
      <c r="J35" s="76"/>
      <c r="K35" s="76"/>
      <c r="L35" s="76"/>
      <c r="M35" s="76"/>
      <c r="N35" s="76"/>
      <c r="O35" s="76"/>
      <c r="P35" s="76"/>
      <c r="Q35" s="76"/>
      <c r="R35" s="76"/>
    </row>
    <row r="36" spans="1:18" x14ac:dyDescent="0.3">
      <c r="A36" s="87" t="s">
        <v>179</v>
      </c>
      <c r="B36" s="76"/>
      <c r="C36" s="76"/>
      <c r="D36" s="76"/>
      <c r="E36" s="76"/>
      <c r="F36" s="76" t="s">
        <v>177</v>
      </c>
      <c r="G36" s="76"/>
      <c r="H36" s="76"/>
      <c r="I36" s="76"/>
      <c r="J36" s="76"/>
      <c r="K36" s="76"/>
      <c r="L36" s="76"/>
      <c r="M36" s="76"/>
      <c r="N36" s="76"/>
      <c r="O36" s="76"/>
      <c r="P36" s="76"/>
      <c r="Q36" s="76"/>
      <c r="R36" s="76"/>
    </row>
    <row r="37" spans="1:18" x14ac:dyDescent="0.3">
      <c r="A37" s="87" t="s">
        <v>178</v>
      </c>
      <c r="B37" s="76"/>
      <c r="C37" s="76"/>
      <c r="D37" s="76"/>
      <c r="E37" s="76"/>
      <c r="F37" s="76" t="s">
        <v>177</v>
      </c>
      <c r="G37" s="76"/>
      <c r="H37" s="76"/>
      <c r="I37" s="76"/>
      <c r="J37" s="76"/>
      <c r="K37" s="76"/>
      <c r="L37" s="76"/>
      <c r="M37" s="76"/>
      <c r="N37" s="76"/>
      <c r="O37" s="76"/>
      <c r="P37" s="76"/>
      <c r="Q37" s="76"/>
      <c r="R37" s="76"/>
    </row>
    <row r="38" spans="1:18" x14ac:dyDescent="0.3">
      <c r="A38" s="89" t="s">
        <v>176</v>
      </c>
      <c r="B38" s="76"/>
      <c r="C38" s="76"/>
      <c r="D38" s="76"/>
      <c r="E38" s="76"/>
      <c r="F38" s="76"/>
      <c r="G38" s="76"/>
      <c r="H38" s="76"/>
      <c r="I38" s="76"/>
      <c r="J38" s="76"/>
      <c r="K38" s="76"/>
      <c r="L38" s="76"/>
      <c r="M38" s="76"/>
      <c r="N38" s="76"/>
      <c r="O38" s="76"/>
      <c r="P38" s="76"/>
      <c r="Q38" s="76"/>
      <c r="R38" s="76"/>
    </row>
    <row r="39" spans="1:18" x14ac:dyDescent="0.3">
      <c r="A39" s="89"/>
      <c r="B39" s="76"/>
      <c r="C39" s="76"/>
      <c r="D39" s="76"/>
      <c r="E39" s="76"/>
      <c r="F39" s="76"/>
      <c r="G39" s="76"/>
      <c r="H39" s="76"/>
      <c r="I39" s="76"/>
      <c r="J39" s="76"/>
      <c r="K39" s="76"/>
      <c r="L39" s="76"/>
      <c r="M39" s="76"/>
      <c r="N39" s="76"/>
      <c r="O39" s="76"/>
      <c r="P39" s="76"/>
      <c r="Q39" s="76"/>
      <c r="R39" s="76"/>
    </row>
    <row r="40" spans="1:18" x14ac:dyDescent="0.3">
      <c r="A40" s="76" t="s">
        <v>175</v>
      </c>
      <c r="B40" s="76"/>
      <c r="C40" s="76"/>
      <c r="D40" s="76"/>
      <c r="E40" s="76"/>
      <c r="F40" s="76"/>
      <c r="G40" s="76"/>
      <c r="H40" s="76"/>
      <c r="I40" s="76"/>
      <c r="J40" s="76"/>
      <c r="K40" s="76"/>
      <c r="L40" s="76"/>
      <c r="M40" s="76"/>
      <c r="N40" s="76"/>
      <c r="O40" s="76"/>
      <c r="P40" s="76"/>
      <c r="Q40" s="76"/>
      <c r="R40" s="76"/>
    </row>
    <row r="41" spans="1:18" x14ac:dyDescent="0.3">
      <c r="A41" s="89" t="s">
        <v>174</v>
      </c>
      <c r="B41" s="76"/>
      <c r="C41" s="76"/>
      <c r="D41" s="76"/>
      <c r="E41" s="76"/>
      <c r="F41" s="76"/>
      <c r="G41" s="76"/>
      <c r="H41" s="76"/>
      <c r="I41" s="76"/>
      <c r="J41" s="76"/>
      <c r="K41" s="76"/>
      <c r="L41" s="76"/>
      <c r="M41" s="76"/>
      <c r="N41" s="76"/>
      <c r="O41" s="76"/>
      <c r="P41" s="76"/>
      <c r="Q41" s="76"/>
      <c r="R41" s="76"/>
    </row>
    <row r="42" spans="1:18" x14ac:dyDescent="0.3">
      <c r="A42" s="89" t="s">
        <v>173</v>
      </c>
      <c r="B42" s="76"/>
      <c r="C42" s="76"/>
      <c r="D42" s="76"/>
      <c r="E42" s="76"/>
      <c r="F42" s="76"/>
      <c r="G42" s="76"/>
      <c r="H42" s="76"/>
      <c r="I42" s="76"/>
      <c r="J42" s="76"/>
      <c r="K42" s="76"/>
      <c r="L42" s="76"/>
      <c r="M42" s="76"/>
      <c r="N42" s="76"/>
      <c r="O42" s="76"/>
      <c r="P42" s="76"/>
      <c r="Q42" s="76"/>
      <c r="R42" s="76"/>
    </row>
    <row r="43" spans="1:18" x14ac:dyDescent="0.3">
      <c r="A43" s="89" t="s">
        <v>172</v>
      </c>
      <c r="B43" s="76"/>
      <c r="C43" s="76"/>
      <c r="D43" s="76"/>
      <c r="E43" s="76"/>
      <c r="F43" s="76"/>
      <c r="G43" s="76"/>
      <c r="H43" s="76"/>
      <c r="I43" s="76"/>
      <c r="J43" s="76"/>
      <c r="K43" s="76"/>
      <c r="L43" s="76"/>
      <c r="M43" s="76"/>
      <c r="N43" s="76" t="s">
        <v>171</v>
      </c>
      <c r="O43" s="76"/>
      <c r="P43" s="76"/>
      <c r="Q43" s="76"/>
      <c r="R43" s="76"/>
    </row>
    <row r="44" spans="1:18" x14ac:dyDescent="0.3">
      <c r="A44" s="89" t="s">
        <v>170</v>
      </c>
      <c r="B44" s="76"/>
      <c r="C44" s="76"/>
      <c r="D44" s="76"/>
      <c r="E44" s="76"/>
      <c r="F44" s="76"/>
      <c r="G44" s="76"/>
      <c r="H44" s="76"/>
      <c r="I44" s="76"/>
      <c r="J44" s="76"/>
      <c r="K44" s="76"/>
      <c r="L44" s="76"/>
      <c r="M44" s="76"/>
      <c r="N44" s="76" t="s">
        <v>169</v>
      </c>
      <c r="O44" s="76"/>
      <c r="P44" s="76"/>
      <c r="Q44" s="76"/>
      <c r="R44" s="76"/>
    </row>
    <row r="45" spans="1:18" x14ac:dyDescent="0.3">
      <c r="A45" s="89" t="s">
        <v>168</v>
      </c>
      <c r="B45" s="76"/>
      <c r="C45" s="76"/>
      <c r="D45" s="76"/>
      <c r="E45" s="76"/>
      <c r="F45" s="76"/>
      <c r="G45" s="76"/>
      <c r="H45" s="76"/>
      <c r="I45" s="76"/>
      <c r="J45" s="76"/>
      <c r="K45" s="76"/>
      <c r="L45" s="76"/>
      <c r="M45" s="76"/>
      <c r="N45" s="76" t="s">
        <v>167</v>
      </c>
      <c r="O45" s="76"/>
      <c r="P45" s="76"/>
      <c r="Q45" s="76"/>
      <c r="R45" s="76"/>
    </row>
    <row r="46" spans="1:18" x14ac:dyDescent="0.3">
      <c r="A46" s="89" t="s">
        <v>166</v>
      </c>
      <c r="B46" s="76"/>
      <c r="C46" s="76"/>
      <c r="D46" s="76"/>
      <c r="E46" s="76"/>
      <c r="F46" s="76"/>
      <c r="G46" s="76"/>
      <c r="H46" s="76"/>
      <c r="I46" s="76"/>
      <c r="J46" s="76"/>
      <c r="K46" s="76"/>
      <c r="L46" s="76"/>
      <c r="M46" s="76"/>
      <c r="N46" s="76" t="s">
        <v>165</v>
      </c>
      <c r="O46" s="76"/>
      <c r="P46" s="76"/>
      <c r="Q46" s="76"/>
      <c r="R46" s="76"/>
    </row>
    <row r="47" spans="1:18" x14ac:dyDescent="0.3">
      <c r="A47" s="89" t="s">
        <v>164</v>
      </c>
      <c r="B47" s="76"/>
      <c r="C47" s="76"/>
      <c r="D47" s="76"/>
      <c r="E47" s="76"/>
      <c r="F47" s="76"/>
      <c r="G47" s="76"/>
      <c r="H47" s="76"/>
      <c r="I47" s="76"/>
      <c r="J47" s="76"/>
      <c r="K47" s="76"/>
      <c r="L47" s="76"/>
      <c r="M47" s="76"/>
      <c r="N47" s="76" t="s">
        <v>163</v>
      </c>
      <c r="O47" s="76"/>
      <c r="P47" s="76"/>
      <c r="Q47" s="76"/>
      <c r="R47" s="76"/>
    </row>
    <row r="48" spans="1:18" x14ac:dyDescent="0.3">
      <c r="A48" s="76"/>
      <c r="B48" s="76"/>
      <c r="C48" s="76"/>
      <c r="D48" s="76"/>
      <c r="E48" s="76"/>
      <c r="F48" s="76"/>
      <c r="G48" s="76"/>
      <c r="H48" s="76"/>
      <c r="I48" s="76"/>
      <c r="J48" s="76"/>
      <c r="K48" s="76"/>
      <c r="L48" s="76"/>
      <c r="M48" s="76"/>
      <c r="N48" s="76"/>
      <c r="O48" s="76"/>
      <c r="P48" s="76"/>
      <c r="Q48" s="76"/>
      <c r="R48" s="76"/>
    </row>
    <row r="49" spans="1:18" x14ac:dyDescent="0.3">
      <c r="A49" s="76"/>
      <c r="B49" s="76"/>
      <c r="C49" s="76"/>
      <c r="D49" s="76"/>
      <c r="E49" s="76"/>
      <c r="F49" s="76"/>
      <c r="G49" s="76"/>
      <c r="H49" s="76"/>
      <c r="I49" s="76"/>
      <c r="J49" s="76"/>
      <c r="K49" s="76"/>
      <c r="L49" s="76"/>
      <c r="M49" s="76"/>
      <c r="N49" s="76"/>
      <c r="O49" s="76"/>
      <c r="P49" s="76"/>
      <c r="Q49" s="76"/>
      <c r="R49" s="76"/>
    </row>
    <row r="50" spans="1:18" x14ac:dyDescent="0.3">
      <c r="A50" s="76"/>
      <c r="B50" s="76"/>
      <c r="C50" s="76"/>
      <c r="D50" s="76"/>
      <c r="E50" s="76"/>
      <c r="F50" s="76"/>
      <c r="G50" s="76"/>
      <c r="H50" s="76"/>
      <c r="I50" s="76"/>
      <c r="J50" s="76"/>
      <c r="K50" s="76"/>
      <c r="L50" s="76"/>
      <c r="M50" s="76"/>
      <c r="N50" s="76"/>
      <c r="O50" s="76"/>
      <c r="P50" s="76"/>
      <c r="Q50" s="76"/>
      <c r="R50" s="76"/>
    </row>
    <row r="51" spans="1:18" x14ac:dyDescent="0.3">
      <c r="A51" s="76"/>
      <c r="B51" s="76"/>
      <c r="C51" s="76"/>
      <c r="D51" s="76"/>
      <c r="E51" s="76"/>
      <c r="F51" s="76"/>
      <c r="G51" s="76"/>
      <c r="H51" s="76"/>
      <c r="I51" s="76"/>
      <c r="J51" s="76"/>
      <c r="K51" s="76"/>
      <c r="L51" s="76"/>
      <c r="M51" s="76"/>
      <c r="N51" s="76"/>
      <c r="O51" s="76"/>
      <c r="P51" s="76"/>
      <c r="Q51" s="76"/>
      <c r="R51" s="76"/>
    </row>
    <row r="52" spans="1:18" x14ac:dyDescent="0.3">
      <c r="A52" s="76"/>
      <c r="B52" s="76"/>
      <c r="C52" s="76"/>
      <c r="D52" s="76"/>
      <c r="E52" s="76"/>
      <c r="F52" s="76"/>
      <c r="G52" s="76"/>
      <c r="H52" s="76"/>
      <c r="I52" s="76"/>
      <c r="J52" s="76"/>
      <c r="K52" s="76"/>
      <c r="L52" s="76"/>
      <c r="M52" s="76"/>
      <c r="N52" s="76"/>
      <c r="O52" s="76"/>
      <c r="P52" s="76"/>
      <c r="Q52" s="76"/>
      <c r="R52" s="76"/>
    </row>
    <row r="53" spans="1:18" x14ac:dyDescent="0.3">
      <c r="A53" s="76"/>
      <c r="B53" s="76"/>
      <c r="C53" s="76"/>
      <c r="D53" s="76"/>
      <c r="E53" s="76"/>
      <c r="F53" s="76"/>
      <c r="G53" s="76"/>
      <c r="H53" s="76"/>
      <c r="I53" s="76"/>
      <c r="J53" s="76"/>
      <c r="K53" s="76"/>
      <c r="L53" s="76"/>
      <c r="M53" s="76"/>
      <c r="N53" s="76"/>
      <c r="O53" s="76"/>
      <c r="P53" s="76"/>
      <c r="Q53" s="76"/>
      <c r="R53" s="76"/>
    </row>
    <row r="54" spans="1:18" x14ac:dyDescent="0.3">
      <c r="A54" s="76"/>
      <c r="B54" s="76"/>
      <c r="C54" s="76"/>
      <c r="D54" s="76"/>
      <c r="E54" s="76"/>
      <c r="F54" s="76"/>
      <c r="G54" s="76"/>
      <c r="H54" s="76"/>
      <c r="I54" s="76"/>
      <c r="J54" s="76"/>
      <c r="K54" s="76"/>
      <c r="L54" s="76"/>
      <c r="M54" s="76"/>
      <c r="N54" s="76"/>
      <c r="O54" s="76"/>
      <c r="P54" s="76"/>
      <c r="Q54" s="76"/>
      <c r="R54" s="76"/>
    </row>
    <row r="55" spans="1:18" x14ac:dyDescent="0.3">
      <c r="A55" s="76"/>
      <c r="B55" s="76"/>
      <c r="C55" s="76"/>
      <c r="D55" s="76"/>
      <c r="E55" s="76"/>
      <c r="F55" s="76"/>
      <c r="G55" s="76"/>
      <c r="H55" s="76"/>
      <c r="I55" s="76"/>
      <c r="J55" s="76"/>
      <c r="K55" s="76"/>
      <c r="L55" s="76"/>
      <c r="M55" s="76"/>
      <c r="N55" s="76"/>
      <c r="O55" s="76"/>
      <c r="P55" s="76"/>
      <c r="Q55" s="76"/>
      <c r="R55" s="76"/>
    </row>
    <row r="56" spans="1:18" x14ac:dyDescent="0.3">
      <c r="A56" s="76"/>
      <c r="B56" s="76"/>
      <c r="C56" s="76"/>
      <c r="D56" s="76"/>
      <c r="E56" s="76"/>
      <c r="F56" s="76"/>
      <c r="G56" s="76"/>
      <c r="H56" s="76"/>
      <c r="I56" s="76"/>
      <c r="J56" s="76"/>
      <c r="K56" s="76"/>
      <c r="L56" s="76"/>
      <c r="M56" s="76"/>
      <c r="N56" s="76"/>
      <c r="O56" s="76"/>
      <c r="P56" s="76"/>
      <c r="Q56" s="76"/>
      <c r="R56" s="76"/>
    </row>
    <row r="57" spans="1:18" x14ac:dyDescent="0.3">
      <c r="A57" s="76"/>
      <c r="B57" s="76"/>
      <c r="C57" s="76"/>
      <c r="D57" s="76"/>
      <c r="E57" s="76"/>
      <c r="F57" s="76"/>
      <c r="G57" s="76"/>
      <c r="H57" s="76"/>
      <c r="I57" s="76"/>
      <c r="J57" s="76"/>
      <c r="K57" s="76"/>
      <c r="L57" s="76"/>
      <c r="M57" s="76"/>
      <c r="N57" s="76"/>
      <c r="O57" s="76"/>
      <c r="P57" s="76"/>
      <c r="Q57" s="76"/>
      <c r="R57" s="76"/>
    </row>
    <row r="58" spans="1:18" x14ac:dyDescent="0.3">
      <c r="A58" s="76"/>
      <c r="B58" s="76"/>
      <c r="C58" s="76"/>
      <c r="D58" s="76"/>
      <c r="E58" s="76"/>
      <c r="F58" s="76"/>
      <c r="G58" s="76"/>
      <c r="H58" s="76"/>
      <c r="I58" s="76"/>
      <c r="J58" s="76"/>
      <c r="K58" s="76"/>
      <c r="L58" s="76"/>
      <c r="M58" s="76"/>
      <c r="N58" s="76"/>
      <c r="O58" s="76"/>
      <c r="P58" s="76"/>
      <c r="Q58" s="76"/>
      <c r="R58" s="76"/>
    </row>
    <row r="59" spans="1:18" x14ac:dyDescent="0.3">
      <c r="A59" s="76"/>
      <c r="B59" s="76"/>
      <c r="C59" s="76"/>
      <c r="D59" s="76"/>
      <c r="E59" s="76"/>
      <c r="F59" s="76"/>
      <c r="G59" s="76"/>
      <c r="H59" s="76"/>
      <c r="I59" s="76"/>
      <c r="J59" s="76"/>
      <c r="K59" s="76"/>
      <c r="L59" s="76"/>
      <c r="M59" s="76"/>
      <c r="N59" s="76"/>
      <c r="O59" s="76"/>
      <c r="P59" s="76"/>
      <c r="Q59" s="76"/>
      <c r="R59" s="76"/>
    </row>
    <row r="60" spans="1:18" x14ac:dyDescent="0.3">
      <c r="A60" s="76"/>
      <c r="B60" s="76"/>
      <c r="C60" s="76"/>
      <c r="D60" s="76"/>
      <c r="E60" s="76"/>
      <c r="F60" s="76"/>
      <c r="G60" s="76"/>
      <c r="H60" s="76"/>
      <c r="I60" s="76"/>
      <c r="J60" s="76"/>
      <c r="K60" s="76"/>
      <c r="L60" s="76"/>
      <c r="M60" s="76"/>
      <c r="N60" s="76"/>
      <c r="O60" s="76"/>
      <c r="P60" s="76"/>
      <c r="Q60" s="76"/>
      <c r="R60" s="76"/>
    </row>
    <row r="61" spans="1:18" x14ac:dyDescent="0.3">
      <c r="A61" s="76"/>
      <c r="B61" s="76"/>
      <c r="C61" s="76"/>
      <c r="D61" s="76"/>
      <c r="E61" s="76"/>
      <c r="F61" s="76"/>
      <c r="G61" s="76"/>
      <c r="H61" s="76"/>
      <c r="I61" s="76"/>
      <c r="J61" s="76"/>
      <c r="K61" s="76"/>
      <c r="L61" s="76"/>
      <c r="M61" s="76"/>
      <c r="N61" s="76"/>
      <c r="O61" s="76"/>
      <c r="P61" s="76"/>
      <c r="Q61" s="76"/>
      <c r="R61" s="76"/>
    </row>
    <row r="62" spans="1:18" x14ac:dyDescent="0.3">
      <c r="A62" s="76"/>
      <c r="B62" s="76"/>
      <c r="C62" s="76"/>
      <c r="D62" s="76"/>
      <c r="E62" s="76"/>
      <c r="F62" s="76"/>
      <c r="G62" s="76"/>
      <c r="H62" s="76"/>
      <c r="I62" s="76"/>
      <c r="J62" s="76"/>
      <c r="K62" s="76"/>
      <c r="L62" s="76"/>
      <c r="M62" s="76"/>
      <c r="N62" s="76"/>
      <c r="O62" s="76"/>
      <c r="P62" s="76"/>
      <c r="Q62" s="76"/>
      <c r="R62" s="76"/>
    </row>
    <row r="63" spans="1:18" x14ac:dyDescent="0.3">
      <c r="A63" s="76"/>
      <c r="B63" s="76"/>
      <c r="C63" s="76"/>
      <c r="D63" s="76"/>
      <c r="E63" s="76"/>
      <c r="F63" s="76"/>
      <c r="G63" s="76"/>
      <c r="H63" s="76"/>
      <c r="I63" s="76"/>
      <c r="J63" s="76"/>
      <c r="K63" s="76"/>
      <c r="L63" s="76"/>
      <c r="M63" s="76"/>
      <c r="N63" s="76"/>
      <c r="O63" s="76"/>
      <c r="P63" s="76"/>
      <c r="Q63" s="76"/>
      <c r="R63" s="76"/>
    </row>
    <row r="64" spans="1:18" x14ac:dyDescent="0.3">
      <c r="A64" s="76"/>
      <c r="B64" s="76"/>
      <c r="C64" s="76"/>
      <c r="D64" s="76"/>
      <c r="E64" s="76"/>
      <c r="F64" s="76"/>
      <c r="G64" s="76"/>
      <c r="H64" s="76"/>
      <c r="I64" s="76"/>
      <c r="J64" s="76"/>
      <c r="K64" s="76"/>
      <c r="L64" s="76"/>
      <c r="M64" s="76"/>
      <c r="N64" s="76"/>
      <c r="O64" s="76"/>
      <c r="P64" s="76"/>
      <c r="Q64" s="76"/>
      <c r="R64" s="76"/>
    </row>
    <row r="65" spans="1:18" x14ac:dyDescent="0.3">
      <c r="A65" s="76"/>
      <c r="B65" s="76"/>
      <c r="C65" s="76"/>
      <c r="D65" s="76"/>
      <c r="E65" s="76"/>
      <c r="F65" s="76"/>
      <c r="G65" s="76"/>
      <c r="H65" s="76"/>
      <c r="I65" s="76"/>
      <c r="J65" s="76"/>
      <c r="K65" s="76"/>
      <c r="L65" s="76"/>
      <c r="M65" s="76"/>
      <c r="N65" s="76"/>
      <c r="O65" s="76"/>
      <c r="P65" s="76"/>
      <c r="Q65" s="76"/>
      <c r="R65" s="76"/>
    </row>
    <row r="66" spans="1:18" x14ac:dyDescent="0.3">
      <c r="A66" s="76"/>
      <c r="B66" s="76"/>
      <c r="C66" s="76"/>
      <c r="D66" s="76"/>
      <c r="E66" s="76"/>
      <c r="F66" s="76"/>
      <c r="G66" s="76"/>
      <c r="H66" s="76"/>
      <c r="I66" s="76"/>
      <c r="J66" s="76"/>
      <c r="K66" s="76"/>
      <c r="L66" s="76"/>
      <c r="M66" s="76"/>
      <c r="N66" s="76"/>
      <c r="O66" s="76"/>
      <c r="P66" s="76"/>
      <c r="Q66" s="76"/>
      <c r="R66" s="76"/>
    </row>
    <row r="67" spans="1:18" x14ac:dyDescent="0.3">
      <c r="A67" s="76"/>
      <c r="B67" s="76"/>
      <c r="C67" s="76"/>
      <c r="D67" s="76"/>
      <c r="E67" s="76"/>
      <c r="F67" s="76"/>
      <c r="G67" s="76"/>
      <c r="H67" s="76"/>
      <c r="I67" s="76"/>
      <c r="J67" s="76"/>
      <c r="K67" s="76"/>
      <c r="L67" s="76"/>
      <c r="M67" s="76"/>
      <c r="N67" s="76"/>
      <c r="O67" s="76"/>
      <c r="P67" s="76"/>
      <c r="Q67" s="76"/>
      <c r="R67" s="76"/>
    </row>
    <row r="68" spans="1:18" x14ac:dyDescent="0.3">
      <c r="A68" s="76"/>
      <c r="B68" s="76"/>
      <c r="C68" s="76"/>
      <c r="D68" s="76"/>
      <c r="E68" s="76"/>
      <c r="F68" s="76"/>
      <c r="G68" s="76"/>
      <c r="H68" s="76"/>
      <c r="I68" s="76"/>
      <c r="J68" s="76"/>
      <c r="K68" s="76"/>
      <c r="L68" s="76"/>
      <c r="M68" s="76"/>
      <c r="N68" s="76"/>
      <c r="O68" s="76"/>
      <c r="P68" s="76"/>
      <c r="Q68" s="76"/>
      <c r="R68" s="76"/>
    </row>
    <row r="69" spans="1:18" x14ac:dyDescent="0.3">
      <c r="A69" s="76"/>
      <c r="B69" s="76"/>
      <c r="C69" s="76"/>
      <c r="D69" s="76"/>
      <c r="E69" s="76"/>
      <c r="F69" s="76"/>
      <c r="G69" s="76"/>
      <c r="H69" s="76"/>
      <c r="I69" s="76"/>
      <c r="J69" s="76"/>
      <c r="K69" s="76"/>
      <c r="L69" s="76"/>
      <c r="M69" s="76"/>
      <c r="N69" s="76"/>
      <c r="O69" s="76"/>
      <c r="P69" s="76"/>
      <c r="Q69" s="76"/>
      <c r="R69" s="76"/>
    </row>
    <row r="70" spans="1:18" x14ac:dyDescent="0.3">
      <c r="A70" s="76"/>
      <c r="B70" s="76"/>
      <c r="C70" s="76"/>
      <c r="D70" s="76"/>
      <c r="E70" s="76"/>
      <c r="F70" s="76"/>
      <c r="G70" s="76"/>
      <c r="H70" s="76"/>
      <c r="I70" s="76"/>
      <c r="J70" s="76"/>
      <c r="K70" s="76"/>
      <c r="L70" s="76"/>
      <c r="M70" s="76"/>
      <c r="N70" s="76"/>
      <c r="O70" s="76"/>
      <c r="P70" s="76"/>
      <c r="Q70" s="76"/>
      <c r="R70" s="76"/>
    </row>
    <row r="71" spans="1:18" x14ac:dyDescent="0.3">
      <c r="A71" s="76"/>
      <c r="B71" s="76"/>
      <c r="C71" s="76"/>
      <c r="D71" s="76"/>
      <c r="E71" s="76"/>
      <c r="F71" s="76"/>
      <c r="G71" s="76"/>
      <c r="H71" s="76"/>
      <c r="I71" s="76"/>
      <c r="J71" s="76"/>
      <c r="K71" s="76"/>
      <c r="L71" s="76"/>
      <c r="M71" s="76"/>
      <c r="N71" s="76"/>
      <c r="O71" s="76"/>
      <c r="P71" s="76"/>
      <c r="Q71" s="76"/>
      <c r="R71" s="76"/>
    </row>
    <row r="72" spans="1:18" x14ac:dyDescent="0.3">
      <c r="A72" s="76"/>
      <c r="B72" s="76"/>
      <c r="C72" s="76"/>
      <c r="D72" s="76"/>
      <c r="E72" s="76"/>
      <c r="F72" s="76"/>
      <c r="G72" s="76"/>
      <c r="H72" s="76"/>
      <c r="I72" s="76"/>
      <c r="J72" s="76"/>
      <c r="K72" s="76"/>
      <c r="L72" s="76"/>
      <c r="M72" s="76"/>
      <c r="N72" s="76"/>
      <c r="O72" s="76"/>
      <c r="P72" s="76"/>
      <c r="Q72" s="76"/>
      <c r="R72" s="76"/>
    </row>
  </sheetData>
  <hyperlinks>
    <hyperlink ref="A42" r:id="rId1"/>
    <hyperlink ref="A41" r:id="rId2"/>
    <hyperlink ref="A43" r:id="rId3"/>
    <hyperlink ref="A44" r:id="rId4"/>
    <hyperlink ref="A45" r:id="rId5"/>
    <hyperlink ref="A46" r:id="rId6"/>
    <hyperlink ref="A47" r:id="rId7"/>
    <hyperlink ref="A29" r:id="rId8"/>
    <hyperlink ref="A30" r:id="rId9"/>
    <hyperlink ref="A31" r:id="rId10"/>
    <hyperlink ref="A32" r:id="rId11"/>
    <hyperlink ref="A33" r:id="rId12"/>
    <hyperlink ref="A37" r:id="rId13"/>
    <hyperlink ref="A38" r:id="rId14"/>
  </hyperlinks>
  <pageMargins left="0.75" right="0.75" top="1" bottom="1" header="0.5" footer="0.5"/>
  <pageSetup paperSize="9" orientation="portrait" horizontalDpi="4294967292" verticalDpi="4294967292"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24</vt:i4>
      </vt:variant>
    </vt:vector>
  </HeadingPairs>
  <TitlesOfParts>
    <vt:vector size="38" baseType="lpstr">
      <vt:lpstr>ReadMe</vt:lpstr>
      <vt:lpstr>DataG14.1</vt:lpstr>
      <vt:lpstr>DataG14.2</vt:lpstr>
      <vt:lpstr>DataG14.3</vt:lpstr>
      <vt:lpstr>DataG14.7</vt:lpstr>
      <vt:lpstr>DataG14.9</vt:lpstr>
      <vt:lpstr>DataG14.10</vt:lpstr>
      <vt:lpstr>DataG14.11</vt:lpstr>
      <vt:lpstr>DataGS14.11e</vt:lpstr>
      <vt:lpstr>DataG14.12</vt:lpstr>
      <vt:lpstr>DataG14.13</vt:lpstr>
      <vt:lpstr>DataG14.14</vt:lpstr>
      <vt:lpstr>DataG14.15</vt:lpstr>
      <vt:lpstr>DataGS14.20</vt:lpstr>
      <vt:lpstr>FS14.1a</vt:lpstr>
      <vt:lpstr>FS14.1b</vt:lpstr>
      <vt:lpstr>FS14.1c</vt:lpstr>
      <vt:lpstr>FS14.2a</vt:lpstr>
      <vt:lpstr>FS14.2b</vt:lpstr>
      <vt:lpstr>FS14.2c</vt:lpstr>
      <vt:lpstr>FS14.9a</vt:lpstr>
      <vt:lpstr>FS14.9b</vt:lpstr>
      <vt:lpstr>FS14.10</vt:lpstr>
      <vt:lpstr>FS14.11a</vt:lpstr>
      <vt:lpstr>FS14.11b</vt:lpstr>
      <vt:lpstr>FS14.11c</vt:lpstr>
      <vt:lpstr>FS14.11d</vt:lpstr>
      <vt:lpstr>FS14.11e</vt:lpstr>
      <vt:lpstr>FS14.15a</vt:lpstr>
      <vt:lpstr>FS14.15b</vt:lpstr>
      <vt:lpstr>FS14.17a</vt:lpstr>
      <vt:lpstr>FS14.17b</vt:lpstr>
      <vt:lpstr>FS14.18</vt:lpstr>
      <vt:lpstr>FS14.19a</vt:lpstr>
      <vt:lpstr>FS14.19b</vt:lpstr>
      <vt:lpstr>FS14.19c</vt:lpstr>
      <vt:lpstr>FS14.19d</vt:lpstr>
      <vt:lpstr>FS14.20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2020-01-28T08:17:22Z</dcterms:modified>
</cp:coreProperties>
</file>