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TableE1" sheetId="1" r:id="rId1"/>
    <sheet name="TableE2" sheetId="2" r:id="rId2"/>
    <sheet name="TableE3" sheetId="3" r:id="rId3"/>
    <sheet name="TableE4" sheetId="4" r:id="rId4"/>
    <sheet name="TableE5" sheetId="5" r:id="rId5"/>
    <sheet name="TableE6" sheetId="6" r:id="rId6"/>
    <sheet name="TableE7" sheetId="7" r:id="rId7"/>
    <sheet name="TableE8" sheetId="8" r:id="rId8"/>
    <sheet name="TableE9" sheetId="9" r:id="rId9"/>
    <sheet name="TableE10" sheetId="10" r:id="rId10"/>
    <sheet name="TableE11" sheetId="11" r:id="rId11"/>
    <sheet name="TableE12" sheetId="12" r:id="rId12"/>
  </sheets>
  <externalReferences>
    <externalReference r:id="rId15"/>
  </externalReferences>
  <definedNames>
    <definedName name="column_headings">#REF!</definedName>
    <definedName name="column_numbers">#REF!</definedName>
    <definedName name="data">#REF!</definedName>
    <definedName name="ea_flux">#REF!</definedName>
    <definedName name="Equilibre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<sst xmlns="http://schemas.openxmlformats.org/spreadsheetml/2006/main" count="281" uniqueCount="66">
  <si>
    <r>
      <t xml:space="preserve">Table E1: Illustration of the µ(g) steady-state formula                                                                                                                     </t>
    </r>
    <r>
      <rPr>
        <sz val="12"/>
        <rFont val="Arial"/>
        <family val="2"/>
      </rPr>
      <t>(proposition 3: exogenous saving model, closed economy, equations (E1)-(E4))                                                                                                                                            (b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*=µ*m*</t>
    </r>
    <r>
      <rPr>
        <sz val="12"/>
        <rFont val="Arial"/>
        <family val="0"/>
      </rPr>
      <t>β</t>
    </r>
    <r>
      <rPr>
        <sz val="12"/>
        <rFont val="Arial"/>
        <family val="2"/>
      </rPr>
      <t xml:space="preserve">* computed for fixed </t>
    </r>
    <r>
      <rPr>
        <sz val="12"/>
        <rFont val="Arial"/>
        <family val="0"/>
      </rPr>
      <t>β</t>
    </r>
    <r>
      <rPr>
        <sz val="12"/>
        <rFont val="Arial"/>
        <family val="2"/>
      </rPr>
      <t>*=s/g=600%, i.e. assuming that s</t>
    </r>
    <r>
      <rPr>
        <vertAlign val="subscript"/>
        <sz val="12"/>
        <rFont val="Arial"/>
        <family val="2"/>
      </rPr>
      <t>K</t>
    </r>
    <r>
      <rPr>
        <sz val="12"/>
        <rFont val="Arial"/>
        <family val="2"/>
      </rPr>
      <t xml:space="preserve"> and s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 xml:space="preserve"> adjusts; µ* unaffected by </t>
    </r>
    <r>
      <rPr>
        <sz val="12"/>
        <rFont val="Arial"/>
        <family val="0"/>
      </rPr>
      <t>β</t>
    </r>
    <r>
      <rPr>
        <sz val="12"/>
        <rFont val="Arial"/>
        <family val="2"/>
      </rPr>
      <t>*)</t>
    </r>
  </si>
  <si>
    <r>
      <t xml:space="preserve">Table E2: Illustration of the µ(g,r) steady-state formula                                                                                                                     </t>
    </r>
    <r>
      <rPr>
        <sz val="12"/>
        <rFont val="Arial"/>
        <family val="2"/>
      </rPr>
      <t xml:space="preserve">(proposition 4: exogenous saving model, open economy, equation (E5)) (case </t>
    </r>
    <r>
      <rPr>
        <sz val="12"/>
        <rFont val="Arial"/>
        <family val="0"/>
      </rPr>
      <t>ρ</t>
    </r>
    <r>
      <rPr>
        <sz val="12"/>
        <rFont val="Arial"/>
        <family val="2"/>
      </rPr>
      <t>=1)                                                                                                            (b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*=µ*m*</t>
    </r>
    <r>
      <rPr>
        <sz val="12"/>
        <rFont val="Arial"/>
        <family val="0"/>
      </rPr>
      <t>β</t>
    </r>
    <r>
      <rPr>
        <sz val="12"/>
        <rFont val="Arial"/>
        <family val="2"/>
      </rPr>
      <t>** computed for fixed β**=s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>/[g-r(s</t>
    </r>
    <r>
      <rPr>
        <vertAlign val="subscript"/>
        <sz val="12"/>
        <rFont val="Arial"/>
        <family val="2"/>
      </rPr>
      <t>K</t>
    </r>
    <r>
      <rPr>
        <sz val="12"/>
        <rFont val="Arial"/>
        <family val="2"/>
      </rPr>
      <t>-s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>)]=600%, i.e. assuming that s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 xml:space="preserve"> adjusts; µ* unaffected by β**)</t>
    </r>
  </si>
  <si>
    <r>
      <t>Table E3: Illustration of the lifecycle formulas s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>(r-g) and β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 xml:space="preserve">(r-g)                                                                                                            </t>
    </r>
    <r>
      <rPr>
        <sz val="12"/>
        <rFont val="Arial"/>
        <family val="2"/>
      </rPr>
      <t xml:space="preserve">(proposition 7: dynastic model, equations (E8)-(E9)) </t>
    </r>
  </si>
  <si>
    <r>
      <t>Table E4: Illustration of the steady-state formula µ(</t>
    </r>
    <r>
      <rPr>
        <b/>
        <sz val="12"/>
        <rFont val="Arial"/>
        <family val="0"/>
      </rPr>
      <t>ρ</t>
    </r>
    <r>
      <rPr>
        <b/>
        <sz val="12"/>
        <rFont val="Arial"/>
        <family val="2"/>
      </rPr>
      <t xml:space="preserve">) formula                                                                                                              </t>
    </r>
    <r>
      <rPr>
        <sz val="12"/>
        <rFont val="Arial"/>
        <family val="2"/>
      </rPr>
      <t>(proposition 7: dynastic model, equation (E10))                                                                                                                                   (b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*=µ*m*</t>
    </r>
    <r>
      <rPr>
        <sz val="12"/>
        <rFont val="Arial"/>
        <family val="0"/>
      </rPr>
      <t>β</t>
    </r>
    <r>
      <rPr>
        <sz val="12"/>
        <rFont val="Arial"/>
        <family val="2"/>
      </rPr>
      <t>* computed for fixed β*=</t>
    </r>
    <r>
      <rPr>
        <sz val="12"/>
        <rFont val="Arial"/>
        <family val="0"/>
      </rPr>
      <t>α</t>
    </r>
    <r>
      <rPr>
        <sz val="12"/>
        <rFont val="Arial"/>
        <family val="2"/>
      </rPr>
      <t xml:space="preserve">/r*=600%, i.e. assuming that </t>
    </r>
    <r>
      <rPr>
        <sz val="12"/>
        <rFont val="Arial"/>
        <family val="0"/>
      </rPr>
      <t>θ</t>
    </r>
    <r>
      <rPr>
        <sz val="12"/>
        <rFont val="Arial"/>
        <family val="2"/>
      </rPr>
      <t xml:space="preserve"> and/or </t>
    </r>
    <r>
      <rPr>
        <sz val="12"/>
        <rFont val="Arial"/>
        <family val="0"/>
      </rPr>
      <t>σ</t>
    </r>
    <r>
      <rPr>
        <sz val="12"/>
        <rFont val="Arial"/>
        <family val="2"/>
      </rPr>
      <t xml:space="preserve"> adjust; µ* unaffected by β*)       </t>
    </r>
    <r>
      <rPr>
        <b/>
        <sz val="12"/>
        <rFont val="Arial"/>
        <family val="2"/>
      </rPr>
      <t xml:space="preserve">  </t>
    </r>
  </si>
  <si>
    <r>
      <t>(1-α)β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>*</t>
    </r>
  </si>
  <si>
    <r>
      <t>Table E6: Illustration of the b</t>
    </r>
    <r>
      <rPr>
        <b/>
        <vertAlign val="subscript"/>
        <sz val="12"/>
        <rFont val="Arial"/>
        <family val="2"/>
      </rPr>
      <t>y</t>
    </r>
    <r>
      <rPr>
        <b/>
        <sz val="12"/>
        <rFont val="Arial"/>
        <family val="2"/>
      </rPr>
      <t xml:space="preserve">*, </t>
    </r>
    <r>
      <rPr>
        <b/>
        <sz val="12"/>
        <rFont val="Arial"/>
        <family val="0"/>
      </rPr>
      <t>β</t>
    </r>
    <r>
      <rPr>
        <b/>
        <sz val="12"/>
        <rFont val="Arial"/>
        <family val="2"/>
      </rPr>
      <t>* and µ*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formulas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(propositions 8-9, wealth-in-the-utility-function model, equations (E11)-(E15)) (</t>
    </r>
    <r>
      <rPr>
        <sz val="12"/>
        <rFont val="Arial"/>
        <family val="0"/>
      </rPr>
      <t>ρ</t>
    </r>
    <r>
      <rPr>
        <sz val="12"/>
        <rFont val="Arial"/>
        <family val="2"/>
      </rPr>
      <t>=1)                                                                                                                                              (open economy, r=5%, θ=2%</t>
    </r>
    <r>
      <rPr>
        <b/>
        <sz val="12"/>
        <rFont val="Arial"/>
        <family val="2"/>
      </rPr>
      <t xml:space="preserve">, </t>
    </r>
    <r>
      <rPr>
        <sz val="12"/>
        <rFont val="Arial"/>
        <family val="2"/>
      </rPr>
      <t>σ=5, s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=10%)</t>
    </r>
  </si>
  <si>
    <r>
      <t>Table E7: Illustration of the b</t>
    </r>
    <r>
      <rPr>
        <b/>
        <vertAlign val="subscript"/>
        <sz val="12"/>
        <rFont val="Arial"/>
        <family val="2"/>
      </rPr>
      <t>y</t>
    </r>
    <r>
      <rPr>
        <b/>
        <sz val="12"/>
        <rFont val="Arial"/>
        <family val="2"/>
      </rPr>
      <t xml:space="preserve">*, </t>
    </r>
    <r>
      <rPr>
        <b/>
        <sz val="12"/>
        <rFont val="Arial"/>
        <family val="0"/>
      </rPr>
      <t>β*</t>
    </r>
    <r>
      <rPr>
        <b/>
        <sz val="12"/>
        <rFont val="Arial"/>
        <family val="2"/>
      </rPr>
      <t xml:space="preserve"> and µ*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formulas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(propositions 8-9, wealth-in-the-utility-function model, equations (E11)-(E15)) (</t>
    </r>
    <r>
      <rPr>
        <sz val="12"/>
        <rFont val="Arial"/>
        <family val="0"/>
      </rPr>
      <t>ρ</t>
    </r>
    <r>
      <rPr>
        <sz val="12"/>
        <rFont val="Arial"/>
        <family val="2"/>
      </rPr>
      <t>=1)                                                                                                                                              (open economy, r=5%, s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=10%, θ and σ adjust so that g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=g)</t>
    </r>
  </si>
  <si>
    <r>
      <t>Table E8: Illustration of the b</t>
    </r>
    <r>
      <rPr>
        <b/>
        <vertAlign val="subscript"/>
        <sz val="12"/>
        <rFont val="Arial"/>
        <family val="2"/>
      </rPr>
      <t>y</t>
    </r>
    <r>
      <rPr>
        <b/>
        <sz val="12"/>
        <rFont val="Arial"/>
        <family val="2"/>
      </rPr>
      <t xml:space="preserve">*, </t>
    </r>
    <r>
      <rPr>
        <b/>
        <sz val="12"/>
        <rFont val="Arial"/>
        <family val="0"/>
      </rPr>
      <t>β*</t>
    </r>
    <r>
      <rPr>
        <b/>
        <sz val="12"/>
        <rFont val="Arial"/>
        <family val="2"/>
      </rPr>
      <t xml:space="preserve"> and µ*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formulas                                                                                                                                  </t>
    </r>
    <r>
      <rPr>
        <sz val="12"/>
        <rFont val="Arial"/>
        <family val="2"/>
      </rPr>
      <t>(propositions 8-9, wealth-in-the-utility-function model, equations (E11)-(E15)) (</t>
    </r>
    <r>
      <rPr>
        <sz val="12"/>
        <rFont val="Arial"/>
        <family val="0"/>
      </rPr>
      <t>ρ</t>
    </r>
    <r>
      <rPr>
        <sz val="12"/>
        <rFont val="Arial"/>
        <family val="2"/>
      </rPr>
      <t>=1)                                                                                                                                              (closed economy, r=5%, θ=0%</t>
    </r>
    <r>
      <rPr>
        <b/>
        <sz val="12"/>
        <rFont val="Arial"/>
        <family val="2"/>
      </rPr>
      <t xml:space="preserve">, </t>
    </r>
    <r>
      <rPr>
        <sz val="12"/>
        <rFont val="Arial"/>
        <family val="2"/>
      </rPr>
      <t>σ=∞, s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adjusts so that </t>
    </r>
    <r>
      <rPr>
        <sz val="12"/>
        <rFont val="Arial"/>
        <family val="0"/>
      </rPr>
      <t>β</t>
    </r>
    <r>
      <rPr>
        <sz val="12"/>
        <rFont val="Arial"/>
        <family val="2"/>
      </rPr>
      <t>*=(1-</t>
    </r>
    <r>
      <rPr>
        <sz val="12"/>
        <rFont val="Arial"/>
        <family val="0"/>
      </rPr>
      <t>α</t>
    </r>
    <r>
      <rPr>
        <sz val="12"/>
        <rFont val="Arial"/>
        <family val="2"/>
      </rPr>
      <t>)</t>
    </r>
    <r>
      <rPr>
        <sz val="12"/>
        <rFont val="Arial"/>
        <family val="0"/>
      </rPr>
      <t>β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>+</t>
    </r>
    <r>
      <rPr>
        <sz val="12"/>
        <rFont val="Arial"/>
        <family val="0"/>
      </rPr>
      <t>β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=</t>
    </r>
    <r>
      <rPr>
        <sz val="12"/>
        <rFont val="Arial"/>
        <family val="0"/>
      </rPr>
      <t>α</t>
    </r>
    <r>
      <rPr>
        <sz val="12"/>
        <rFont val="Arial"/>
        <family val="2"/>
      </rPr>
      <t>/r* is fixed to 600%)</t>
    </r>
  </si>
  <si>
    <r>
      <t>Table E9: Illustration of the b</t>
    </r>
    <r>
      <rPr>
        <b/>
        <vertAlign val="subscript"/>
        <sz val="12"/>
        <rFont val="Arial"/>
        <family val="2"/>
      </rPr>
      <t>y</t>
    </r>
    <r>
      <rPr>
        <b/>
        <sz val="12"/>
        <rFont val="Arial"/>
        <family val="2"/>
      </rPr>
      <t xml:space="preserve">*, </t>
    </r>
    <r>
      <rPr>
        <b/>
        <sz val="12"/>
        <rFont val="Arial"/>
        <family val="0"/>
      </rPr>
      <t>β*</t>
    </r>
    <r>
      <rPr>
        <b/>
        <sz val="12"/>
        <rFont val="Arial"/>
        <family val="2"/>
      </rPr>
      <t xml:space="preserve"> and µ*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formulas                                                                                                                                  </t>
    </r>
    <r>
      <rPr>
        <sz val="12"/>
        <rFont val="Arial"/>
        <family val="2"/>
      </rPr>
      <t>(propositions 8-9, wealth-in-the-utility-function model, equations (E11)-(E15)) (</t>
    </r>
    <r>
      <rPr>
        <sz val="12"/>
        <rFont val="Arial"/>
        <family val="0"/>
      </rPr>
      <t>ρ</t>
    </r>
    <r>
      <rPr>
        <sz val="12"/>
        <rFont val="Arial"/>
        <family val="2"/>
      </rPr>
      <t>=1)                                                                                                                                              (closed economy, r*=5%, θ=2%</t>
    </r>
    <r>
      <rPr>
        <b/>
        <sz val="12"/>
        <rFont val="Arial"/>
        <family val="2"/>
      </rPr>
      <t xml:space="preserve">, </t>
    </r>
    <r>
      <rPr>
        <sz val="12"/>
        <rFont val="Arial"/>
        <family val="2"/>
      </rPr>
      <t>σ=5, s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adjusts so that </t>
    </r>
    <r>
      <rPr>
        <sz val="12"/>
        <rFont val="Arial"/>
        <family val="0"/>
      </rPr>
      <t>β</t>
    </r>
    <r>
      <rPr>
        <sz val="12"/>
        <rFont val="Arial"/>
        <family val="2"/>
      </rPr>
      <t>*=(1-</t>
    </r>
    <r>
      <rPr>
        <sz val="12"/>
        <rFont val="Arial"/>
        <family val="0"/>
      </rPr>
      <t>α</t>
    </r>
    <r>
      <rPr>
        <sz val="12"/>
        <rFont val="Arial"/>
        <family val="2"/>
      </rPr>
      <t>)</t>
    </r>
    <r>
      <rPr>
        <sz val="12"/>
        <rFont val="Arial"/>
        <family val="0"/>
      </rPr>
      <t>β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>+</t>
    </r>
    <r>
      <rPr>
        <sz val="12"/>
        <rFont val="Arial"/>
        <family val="0"/>
      </rPr>
      <t>β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=</t>
    </r>
    <r>
      <rPr>
        <sz val="12"/>
        <rFont val="Arial"/>
        <family val="0"/>
      </rPr>
      <t>α</t>
    </r>
    <r>
      <rPr>
        <sz val="12"/>
        <rFont val="Arial"/>
        <family val="2"/>
      </rPr>
      <t>/r* is fixed to 600%)</t>
    </r>
  </si>
  <si>
    <r>
      <t>Table E10: Illustration of the b</t>
    </r>
    <r>
      <rPr>
        <b/>
        <vertAlign val="subscript"/>
        <sz val="12"/>
        <rFont val="Arial"/>
        <family val="2"/>
      </rPr>
      <t>y</t>
    </r>
    <r>
      <rPr>
        <b/>
        <sz val="12"/>
        <rFont val="Arial"/>
        <family val="2"/>
      </rPr>
      <t xml:space="preserve">*, </t>
    </r>
    <r>
      <rPr>
        <b/>
        <sz val="12"/>
        <rFont val="Arial"/>
        <family val="0"/>
      </rPr>
      <t>β*</t>
    </r>
    <r>
      <rPr>
        <b/>
        <sz val="12"/>
        <rFont val="Arial"/>
        <family val="2"/>
      </rPr>
      <t xml:space="preserve"> and µ*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formulas                                                                                                                                  </t>
    </r>
    <r>
      <rPr>
        <sz val="12"/>
        <rFont val="Arial"/>
        <family val="2"/>
      </rPr>
      <t>(propositions 8-9, wealth-in-the-utility-function model, equations (E11)-(E15)) (</t>
    </r>
    <r>
      <rPr>
        <sz val="12"/>
        <rFont val="Arial"/>
        <family val="0"/>
      </rPr>
      <t>ρ</t>
    </r>
    <r>
      <rPr>
        <sz val="12"/>
        <rFont val="Arial"/>
        <family val="2"/>
      </rPr>
      <t>=1)                                                                                                                                              (closed economy, θ=2%</t>
    </r>
    <r>
      <rPr>
        <b/>
        <sz val="12"/>
        <rFont val="Arial"/>
        <family val="2"/>
      </rPr>
      <t xml:space="preserve">, </t>
    </r>
    <r>
      <rPr>
        <sz val="12"/>
        <rFont val="Arial"/>
        <family val="2"/>
      </rPr>
      <t>σ=5, s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=10%, r* adjusts so that </t>
    </r>
    <r>
      <rPr>
        <sz val="12"/>
        <rFont val="Arial"/>
        <family val="0"/>
      </rPr>
      <t>β</t>
    </r>
    <r>
      <rPr>
        <sz val="12"/>
        <rFont val="Arial"/>
        <family val="2"/>
      </rPr>
      <t>*=(1-</t>
    </r>
    <r>
      <rPr>
        <sz val="12"/>
        <rFont val="Arial"/>
        <family val="0"/>
      </rPr>
      <t>α</t>
    </r>
    <r>
      <rPr>
        <sz val="12"/>
        <rFont val="Arial"/>
        <family val="2"/>
      </rPr>
      <t>)</t>
    </r>
    <r>
      <rPr>
        <sz val="12"/>
        <rFont val="Arial"/>
        <family val="0"/>
      </rPr>
      <t>β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>+</t>
    </r>
    <r>
      <rPr>
        <sz val="12"/>
        <rFont val="Arial"/>
        <family val="0"/>
      </rPr>
      <t>β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=</t>
    </r>
    <r>
      <rPr>
        <sz val="12"/>
        <rFont val="Arial"/>
        <family val="0"/>
      </rPr>
      <t>α</t>
    </r>
    <r>
      <rPr>
        <sz val="12"/>
        <rFont val="Arial"/>
        <family val="2"/>
      </rPr>
      <t>/r*)</t>
    </r>
  </si>
  <si>
    <r>
      <t>Table E11: Illustration of the b</t>
    </r>
    <r>
      <rPr>
        <b/>
        <vertAlign val="subscript"/>
        <sz val="12"/>
        <rFont val="Arial"/>
        <family val="2"/>
      </rPr>
      <t>y</t>
    </r>
    <r>
      <rPr>
        <b/>
        <sz val="12"/>
        <rFont val="Arial"/>
        <family val="2"/>
      </rPr>
      <t xml:space="preserve">*, </t>
    </r>
    <r>
      <rPr>
        <b/>
        <sz val="12"/>
        <rFont val="Arial"/>
        <family val="0"/>
      </rPr>
      <t>β*</t>
    </r>
    <r>
      <rPr>
        <b/>
        <sz val="12"/>
        <rFont val="Arial"/>
        <family val="2"/>
      </rPr>
      <t xml:space="preserve"> and µ*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formulas                                                                                                                                  </t>
    </r>
    <r>
      <rPr>
        <sz val="12"/>
        <rFont val="Arial"/>
        <family val="2"/>
      </rPr>
      <t>(propositions 8-9, wealth-in-the-utility-function model, equations (E11)-(E15)) (</t>
    </r>
    <r>
      <rPr>
        <sz val="12"/>
        <rFont val="Arial"/>
        <family val="0"/>
      </rPr>
      <t>ρ</t>
    </r>
    <r>
      <rPr>
        <sz val="12"/>
        <rFont val="Arial"/>
        <family val="2"/>
      </rPr>
      <t>=1)                                                                                                                                              (closed economy, θ and σ adjust so that g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=g, s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=10%, r* adjusts so that </t>
    </r>
    <r>
      <rPr>
        <sz val="12"/>
        <rFont val="Arial"/>
        <family val="0"/>
      </rPr>
      <t>β</t>
    </r>
    <r>
      <rPr>
        <sz val="12"/>
        <rFont val="Arial"/>
        <family val="2"/>
      </rPr>
      <t>*=(1-</t>
    </r>
    <r>
      <rPr>
        <sz val="12"/>
        <rFont val="Arial"/>
        <family val="0"/>
      </rPr>
      <t>α</t>
    </r>
    <r>
      <rPr>
        <sz val="12"/>
        <rFont val="Arial"/>
        <family val="2"/>
      </rPr>
      <t>)</t>
    </r>
    <r>
      <rPr>
        <sz val="12"/>
        <rFont val="Arial"/>
        <family val="0"/>
      </rPr>
      <t>β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>+</t>
    </r>
    <r>
      <rPr>
        <sz val="12"/>
        <rFont val="Arial"/>
        <family val="0"/>
      </rPr>
      <t>β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=</t>
    </r>
    <r>
      <rPr>
        <sz val="12"/>
        <rFont val="Arial"/>
        <family val="0"/>
      </rPr>
      <t>α</t>
    </r>
    <r>
      <rPr>
        <sz val="12"/>
        <rFont val="Arial"/>
        <family val="2"/>
      </rPr>
      <t>/r*)</t>
    </r>
  </si>
  <si>
    <r>
      <t>β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*</t>
    </r>
  </si>
  <si>
    <r>
      <t>β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>*</t>
    </r>
  </si>
  <si>
    <r>
      <t>β</t>
    </r>
    <r>
      <rPr>
        <vertAlign val="subscript"/>
        <sz val="12"/>
        <rFont val="Arial"/>
        <family val="2"/>
      </rPr>
      <t>K</t>
    </r>
    <r>
      <rPr>
        <sz val="12"/>
        <rFont val="Arial"/>
        <family val="2"/>
      </rPr>
      <t>*=</t>
    </r>
    <r>
      <rPr>
        <sz val="12"/>
        <rFont val="Arial"/>
        <family val="0"/>
      </rPr>
      <t>α</t>
    </r>
    <r>
      <rPr>
        <sz val="12"/>
        <rFont val="Arial"/>
        <family val="2"/>
      </rPr>
      <t>/r</t>
    </r>
  </si>
  <si>
    <r>
      <t>Table E5: Illustration of the λ formula and b</t>
    </r>
    <r>
      <rPr>
        <b/>
        <vertAlign val="subscript"/>
        <sz val="12"/>
        <rFont val="Arial"/>
        <family val="2"/>
      </rPr>
      <t>y</t>
    </r>
    <r>
      <rPr>
        <b/>
        <sz val="12"/>
        <rFont val="Arial"/>
        <family val="2"/>
      </rPr>
      <t>*=b</t>
    </r>
    <r>
      <rPr>
        <b/>
        <vertAlign val="subscript"/>
        <sz val="12"/>
        <rFont val="Arial"/>
        <family val="2"/>
      </rPr>
      <t>y</t>
    </r>
    <r>
      <rPr>
        <b/>
        <sz val="12"/>
        <rFont val="Arial"/>
        <family val="2"/>
      </rPr>
      <t xml:space="preserve">(g,r) formula                                                                                                                     </t>
    </r>
    <r>
      <rPr>
        <sz val="12"/>
        <rFont val="Arial"/>
        <family val="2"/>
      </rPr>
      <t>(propositions 8-9: wealth-in-the-utility-function model, equations (E12)-(E13) and (E17))</t>
    </r>
  </si>
  <si>
    <t>A</t>
  </si>
  <si>
    <t>H</t>
  </si>
  <si>
    <t>β*</t>
  </si>
  <si>
    <t>α</t>
  </si>
  <si>
    <t>r*</t>
  </si>
  <si>
    <t>D</t>
  </si>
  <si>
    <t>I = D-H</t>
  </si>
  <si>
    <t>g</t>
  </si>
  <si>
    <t>s</t>
  </si>
  <si>
    <t>µ*</t>
  </si>
  <si>
    <t>r-g</t>
  </si>
  <si>
    <t>λ</t>
  </si>
  <si>
    <t>r</t>
  </si>
  <si>
    <t>1-α</t>
  </si>
  <si>
    <t>ρ</t>
  </si>
  <si>
    <r>
      <t>s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>/s</t>
    </r>
  </si>
  <si>
    <r>
      <t>Uniform savings (s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>=s</t>
    </r>
    <r>
      <rPr>
        <b/>
        <vertAlign val="subscript"/>
        <sz val="12"/>
        <rFont val="Arial"/>
        <family val="2"/>
      </rPr>
      <t>K</t>
    </r>
    <r>
      <rPr>
        <b/>
        <sz val="12"/>
        <rFont val="Arial"/>
        <family val="2"/>
      </rPr>
      <t xml:space="preserve">=s) &amp; </t>
    </r>
    <r>
      <rPr>
        <b/>
        <sz val="12"/>
        <rFont val="Arial"/>
        <family val="0"/>
      </rPr>
      <t>ρ</t>
    </r>
    <r>
      <rPr>
        <b/>
        <sz val="12"/>
        <rFont val="Arial"/>
        <family val="2"/>
      </rPr>
      <t>=1</t>
    </r>
  </si>
  <si>
    <r>
      <t>Partial class savings (s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 xml:space="preserve">/s&lt;1)     &amp; </t>
    </r>
    <r>
      <rPr>
        <b/>
        <sz val="12"/>
        <rFont val="Arial"/>
        <family val="0"/>
      </rPr>
      <t>ρ</t>
    </r>
    <r>
      <rPr>
        <b/>
        <sz val="12"/>
        <rFont val="Arial"/>
        <family val="2"/>
      </rPr>
      <t>=1</t>
    </r>
  </si>
  <si>
    <t>R</t>
  </si>
  <si>
    <r>
      <t>β</t>
    </r>
    <r>
      <rPr>
        <sz val="12"/>
        <rFont val="Arial"/>
        <family val="2"/>
      </rPr>
      <t>*</t>
    </r>
  </si>
  <si>
    <r>
      <t>Class savings (s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>=0 &amp; s</t>
    </r>
    <r>
      <rPr>
        <b/>
        <vertAlign val="subscript"/>
        <sz val="12"/>
        <rFont val="Arial"/>
        <family val="2"/>
      </rPr>
      <t>K</t>
    </r>
    <r>
      <rPr>
        <b/>
        <sz val="12"/>
        <rFont val="Arial"/>
        <family val="2"/>
      </rPr>
      <t xml:space="preserve">&gt;0) </t>
    </r>
  </si>
  <si>
    <r>
      <t>b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*</t>
    </r>
  </si>
  <si>
    <t>µ(g,r) for given r</t>
  </si>
  <si>
    <r>
      <t>s</t>
    </r>
    <r>
      <rPr>
        <vertAlign val="subscript"/>
        <sz val="12"/>
        <rFont val="Arial"/>
        <family val="2"/>
      </rPr>
      <t>K</t>
    </r>
  </si>
  <si>
    <t xml:space="preserve">r </t>
  </si>
  <si>
    <t>µ(g,r) for given g</t>
  </si>
  <si>
    <t>µ(g,r) for given r-g</t>
  </si>
  <si>
    <r>
      <t>β</t>
    </r>
    <r>
      <rPr>
        <sz val="12"/>
        <rFont val="Arial"/>
        <family val="2"/>
      </rPr>
      <t>**</t>
    </r>
  </si>
  <si>
    <t>beta*F</t>
  </si>
  <si>
    <t>beta**</t>
  </si>
  <si>
    <t>beta*K</t>
  </si>
  <si>
    <t>rbeta*F</t>
  </si>
  <si>
    <t>θ</t>
  </si>
  <si>
    <t>σ</t>
  </si>
  <si>
    <t>r*-g</t>
  </si>
  <si>
    <t xml:space="preserve">      </t>
  </si>
  <si>
    <t xml:space="preserve">     </t>
  </si>
  <si>
    <r>
      <t>s</t>
    </r>
    <r>
      <rPr>
        <vertAlign val="subscript"/>
        <sz val="12"/>
        <rFont val="Arial"/>
        <family val="2"/>
      </rPr>
      <t>B</t>
    </r>
  </si>
  <si>
    <r>
      <t>g</t>
    </r>
    <r>
      <rPr>
        <vertAlign val="subscript"/>
        <sz val="12"/>
        <rFont val="Arial"/>
        <family val="2"/>
      </rPr>
      <t>c</t>
    </r>
  </si>
  <si>
    <r>
      <t>s</t>
    </r>
    <r>
      <rPr>
        <vertAlign val="subscript"/>
        <sz val="12"/>
        <rFont val="Arial"/>
        <family val="2"/>
      </rPr>
      <t>L</t>
    </r>
  </si>
  <si>
    <t xml:space="preserve"> µ*=µ(g)</t>
  </si>
  <si>
    <r>
      <t>Uniform savings (s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>=s</t>
    </r>
    <r>
      <rPr>
        <b/>
        <vertAlign val="subscript"/>
        <sz val="12"/>
        <rFont val="Arial"/>
        <family val="2"/>
      </rPr>
      <t>K</t>
    </r>
    <r>
      <rPr>
        <b/>
        <sz val="12"/>
        <rFont val="Arial"/>
        <family val="2"/>
      </rPr>
      <t xml:space="preserve">=s)  &amp; replacement rate </t>
    </r>
    <r>
      <rPr>
        <b/>
        <sz val="12"/>
        <rFont val="Arial"/>
        <family val="0"/>
      </rPr>
      <t>ρ&lt;</t>
    </r>
    <r>
      <rPr>
        <b/>
        <sz val="12"/>
        <rFont val="Arial"/>
        <family val="2"/>
      </rPr>
      <t>1</t>
    </r>
  </si>
  <si>
    <t xml:space="preserve"> µ*=µ(g,r)</t>
  </si>
  <si>
    <r>
      <t>s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>(r*-g) and β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 xml:space="preserve">(r*-g)          </t>
    </r>
    <r>
      <rPr>
        <sz val="12"/>
        <rFont val="Arial"/>
        <family val="2"/>
      </rPr>
      <t xml:space="preserve">                       (</t>
    </r>
    <r>
      <rPr>
        <sz val="12"/>
        <rFont val="Arial"/>
        <family val="0"/>
      </rPr>
      <t>β</t>
    </r>
    <r>
      <rPr>
        <sz val="12"/>
        <rFont val="Arial"/>
        <family val="2"/>
      </rPr>
      <t>*=</t>
    </r>
    <r>
      <rPr>
        <sz val="12"/>
        <rFont val="Arial"/>
        <family val="0"/>
      </rPr>
      <t>α</t>
    </r>
    <r>
      <rPr>
        <sz val="12"/>
        <rFont val="Arial"/>
        <family val="2"/>
      </rPr>
      <t>/r* computed for g=0% and r*=r*-g=</t>
    </r>
    <r>
      <rPr>
        <sz val="12"/>
        <rFont val="Arial"/>
        <family val="0"/>
      </rPr>
      <t>θ; s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 xml:space="preserve"> and </t>
    </r>
    <r>
      <rPr>
        <sz val="12"/>
        <rFont val="Arial"/>
        <family val="0"/>
      </rPr>
      <t>β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 xml:space="preserve"> unaffected by </t>
    </r>
    <r>
      <rPr>
        <sz val="12"/>
        <rFont val="Arial"/>
        <family val="0"/>
      </rPr>
      <t>β</t>
    </r>
    <r>
      <rPr>
        <sz val="12"/>
        <rFont val="Arial"/>
        <family val="2"/>
      </rPr>
      <t>*</t>
    </r>
    <r>
      <rPr>
        <sz val="12"/>
        <rFont val="Arial"/>
        <family val="2"/>
      </rPr>
      <t>)</t>
    </r>
  </si>
  <si>
    <r>
      <t>s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>(r*-g) and β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 xml:space="preserve">(r*-g)                   for given r*                      </t>
    </r>
    <r>
      <rPr>
        <sz val="12"/>
        <rFont val="Arial"/>
        <family val="2"/>
      </rPr>
      <t>(</t>
    </r>
    <r>
      <rPr>
        <sz val="12"/>
        <rFont val="Arial"/>
        <family val="0"/>
      </rPr>
      <t>β</t>
    </r>
    <r>
      <rPr>
        <sz val="12"/>
        <rFont val="Arial"/>
        <family val="2"/>
      </rPr>
      <t>*=</t>
    </r>
    <r>
      <rPr>
        <sz val="12"/>
        <rFont val="Arial"/>
        <family val="0"/>
      </rPr>
      <t>α</t>
    </r>
    <r>
      <rPr>
        <sz val="12"/>
        <rFont val="Arial"/>
        <family val="2"/>
      </rPr>
      <t xml:space="preserve">/r* fixed at 600%, i.e. assuming </t>
    </r>
    <r>
      <rPr>
        <sz val="12"/>
        <rFont val="Arial"/>
        <family val="0"/>
      </rPr>
      <t>θ</t>
    </r>
    <r>
      <rPr>
        <sz val="12"/>
        <rFont val="Arial"/>
        <family val="2"/>
      </rPr>
      <t xml:space="preserve"> adjusts; s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 xml:space="preserve"> and </t>
    </r>
    <r>
      <rPr>
        <sz val="12"/>
        <rFont val="Arial"/>
        <family val="0"/>
      </rPr>
      <t>β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 xml:space="preserve"> unaffected by </t>
    </r>
    <r>
      <rPr>
        <sz val="12"/>
        <rFont val="Arial"/>
        <family val="0"/>
      </rPr>
      <t>β</t>
    </r>
    <r>
      <rPr>
        <sz val="12"/>
        <rFont val="Arial"/>
        <family val="2"/>
      </rPr>
      <t>*)</t>
    </r>
    <r>
      <rPr>
        <b/>
        <sz val="12"/>
        <rFont val="Arial"/>
        <family val="2"/>
      </rPr>
      <t xml:space="preserve">           </t>
    </r>
  </si>
  <si>
    <r>
      <t>s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>(r*-g) and β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>(r*-g) with endogenous r*=</t>
    </r>
    <r>
      <rPr>
        <b/>
        <sz val="12"/>
        <rFont val="Arial"/>
        <family val="0"/>
      </rPr>
      <t>θ+σg</t>
    </r>
    <r>
      <rPr>
        <b/>
        <sz val="12"/>
        <rFont val="Arial"/>
        <family val="2"/>
      </rPr>
      <t xml:space="preserve">  and β*=α/r*</t>
    </r>
    <r>
      <rPr>
        <sz val="12"/>
        <rFont val="Arial"/>
        <family val="0"/>
      </rPr>
      <t xml:space="preserve">  (s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 xml:space="preserve"> and </t>
    </r>
    <r>
      <rPr>
        <sz val="12"/>
        <rFont val="Arial"/>
        <family val="0"/>
      </rPr>
      <t>β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 xml:space="preserve"> unaffected by </t>
    </r>
    <r>
      <rPr>
        <sz val="12"/>
        <rFont val="Arial"/>
        <family val="0"/>
      </rPr>
      <t>β</t>
    </r>
    <r>
      <rPr>
        <sz val="12"/>
        <rFont val="Arial"/>
        <family val="2"/>
      </rPr>
      <t>*)</t>
    </r>
  </si>
  <si>
    <r>
      <t xml:space="preserve"> µ*=µ(</t>
    </r>
    <r>
      <rPr>
        <sz val="12"/>
        <rFont val="Arial"/>
        <family val="0"/>
      </rPr>
      <t>ρ</t>
    </r>
    <r>
      <rPr>
        <sz val="12"/>
        <rFont val="Arial"/>
        <family val="2"/>
      </rPr>
      <t>)</t>
    </r>
  </si>
  <si>
    <r>
      <t>φ</t>
    </r>
    <r>
      <rPr>
        <vertAlign val="superscript"/>
        <sz val="12"/>
        <rFont val="Arial"/>
        <family val="2"/>
      </rPr>
      <t>M</t>
    </r>
  </si>
  <si>
    <r>
      <t>φ</t>
    </r>
    <r>
      <rPr>
        <vertAlign val="superscript"/>
        <sz val="12"/>
        <rFont val="Arial"/>
        <family val="2"/>
      </rPr>
      <t>KS</t>
    </r>
  </si>
  <si>
    <r>
      <t>φ</t>
    </r>
    <r>
      <rPr>
        <vertAlign val="superscript"/>
        <sz val="12"/>
        <rFont val="Arial"/>
        <family val="2"/>
      </rPr>
      <t>KS</t>
    </r>
    <r>
      <rPr>
        <sz val="12"/>
        <rFont val="Arial"/>
        <family val="2"/>
      </rPr>
      <t>/</t>
    </r>
    <r>
      <rPr>
        <sz val="12"/>
        <rFont val="Arial"/>
        <family val="0"/>
      </rPr>
      <t>φ</t>
    </r>
    <r>
      <rPr>
        <vertAlign val="superscript"/>
        <sz val="12"/>
        <rFont val="Arial"/>
        <family val="2"/>
      </rPr>
      <t>M</t>
    </r>
  </si>
  <si>
    <r>
      <t xml:space="preserve">Table E12: Illustration of the </t>
    </r>
    <r>
      <rPr>
        <b/>
        <sz val="12"/>
        <rFont val="Arial"/>
        <family val="0"/>
      </rPr>
      <t>φ</t>
    </r>
    <r>
      <rPr>
        <b/>
        <vertAlign val="superscript"/>
        <sz val="12"/>
        <rFont val="Arial"/>
        <family val="2"/>
      </rPr>
      <t>M</t>
    </r>
    <r>
      <rPr>
        <b/>
        <sz val="12"/>
        <rFont val="Arial"/>
        <family val="2"/>
      </rPr>
      <t xml:space="preserve"> and </t>
    </r>
    <r>
      <rPr>
        <b/>
        <sz val="12"/>
        <rFont val="Arial"/>
        <family val="0"/>
      </rPr>
      <t>φ</t>
    </r>
    <r>
      <rPr>
        <b/>
        <vertAlign val="superscript"/>
        <sz val="12"/>
        <rFont val="Arial"/>
        <family val="2"/>
      </rPr>
      <t>KS</t>
    </r>
    <r>
      <rPr>
        <b/>
        <sz val="12"/>
        <rFont val="Arial"/>
        <family val="2"/>
      </rPr>
      <t xml:space="preserve"> steady-state formulas                                                                                                                     </t>
    </r>
    <r>
      <rPr>
        <sz val="12"/>
        <rFont val="Arial"/>
        <family val="2"/>
      </rPr>
      <t>(uncapitalized and capitalized inheritance shares in aggregate wealth)                                                                                                    (working paper, section 7.3, equations (7.6)-(7.7), case b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=</t>
    </r>
    <r>
      <rPr>
        <sz val="12"/>
        <rFont val="Arial"/>
        <family val="0"/>
      </rPr>
      <t>β</t>
    </r>
    <r>
      <rPr>
        <sz val="12"/>
        <rFont val="Arial"/>
        <family val="2"/>
      </rPr>
      <t>/H)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</si>
</sst>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%"/>
    <numFmt numFmtId="167" formatCode="#,##0.00000"/>
    <numFmt numFmtId="168" formatCode="\$#,##0\ ;\(\$#,##0\)"/>
    <numFmt numFmtId="169" formatCode="#,##0\ &quot;€&quot;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%"/>
    <numFmt numFmtId="177" formatCode="0.000000000000000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0%"/>
    <numFmt numFmtId="188" formatCode="0.0000%"/>
    <numFmt numFmtId="189" formatCode="&quot;Vrai&quot;;&quot;Vrai&quot;;&quot;Faux&quot;"/>
    <numFmt numFmtId="190" formatCode="&quot;Actif&quot;;&quot;Actif&quot;;&quot;Inactif&quot;"/>
  </numFmts>
  <fonts count="17">
    <font>
      <sz val="10"/>
      <name val="Arial"/>
      <family val="0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7"/>
      <name val="Helvetica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1" fillId="0" borderId="2" applyNumberFormat="0" applyFont="0" applyFill="0" applyAlignment="0" applyProtection="0"/>
    <xf numFmtId="2" fontId="1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9" fontId="10" fillId="0" borderId="4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9" fontId="9" fillId="0" borderId="4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9" fontId="9" fillId="0" borderId="6" xfId="0" applyNumberFormat="1" applyFont="1" applyBorder="1" applyAlignment="1">
      <alignment horizontal="center"/>
    </xf>
    <xf numFmtId="9" fontId="9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9" fontId="10" fillId="0" borderId="8" xfId="0" applyNumberFormat="1" applyFont="1" applyBorder="1" applyAlignment="1">
      <alignment horizontal="center"/>
    </xf>
    <xf numFmtId="9" fontId="10" fillId="0" borderId="9" xfId="0" applyNumberFormat="1" applyFont="1" applyBorder="1" applyAlignment="1">
      <alignment horizontal="center"/>
    </xf>
    <xf numFmtId="9" fontId="9" fillId="0" borderId="8" xfId="0" applyNumberFormat="1" applyFont="1" applyBorder="1" applyAlignment="1">
      <alignment horizontal="center"/>
    </xf>
    <xf numFmtId="9" fontId="9" fillId="0" borderId="9" xfId="0" applyNumberFormat="1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9" fontId="10" fillId="0" borderId="4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9" fontId="10" fillId="0" borderId="9" xfId="0" applyNumberFormat="1" applyFont="1" applyBorder="1" applyAlignment="1">
      <alignment horizontal="center"/>
    </xf>
    <xf numFmtId="9" fontId="10" fillId="0" borderId="8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9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9" fontId="10" fillId="0" borderId="3" xfId="0" applyNumberFormat="1" applyFont="1" applyBorder="1" applyAlignment="1">
      <alignment horizontal="center"/>
    </xf>
    <xf numFmtId="9" fontId="10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9" fontId="10" fillId="0" borderId="15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9" fontId="10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88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/>
    </xf>
    <xf numFmtId="0" fontId="10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9" fontId="10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9" fontId="9" fillId="0" borderId="29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0" fillId="0" borderId="30" xfId="0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9" fontId="10" fillId="0" borderId="30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/>
    </xf>
    <xf numFmtId="0" fontId="9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9" fontId="10" fillId="0" borderId="7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9" fontId="10" fillId="0" borderId="19" xfId="0" applyNumberFormat="1" applyFont="1" applyBorder="1" applyAlignment="1">
      <alignment horizontal="center"/>
    </xf>
    <xf numFmtId="9" fontId="10" fillId="0" borderId="37" xfId="0" applyNumberFormat="1" applyFont="1" applyBorder="1" applyAlignment="1">
      <alignment horizontal="center"/>
    </xf>
    <xf numFmtId="9" fontId="10" fillId="0" borderId="14" xfId="0" applyNumberFormat="1" applyFont="1" applyBorder="1" applyAlignment="1">
      <alignment horizontal="center"/>
    </xf>
    <xf numFmtId="9" fontId="10" fillId="0" borderId="19" xfId="0" applyNumberFormat="1" applyFont="1" applyBorder="1" applyAlignment="1">
      <alignment horizontal="center"/>
    </xf>
    <xf numFmtId="9" fontId="10" fillId="0" borderId="20" xfId="0" applyNumberFormat="1" applyFont="1" applyBorder="1" applyAlignment="1">
      <alignment horizontal="center"/>
    </xf>
    <xf numFmtId="9" fontId="10" fillId="0" borderId="37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1" fontId="10" fillId="0" borderId="42" xfId="0" applyNumberFormat="1" applyFont="1" applyBorder="1" applyAlignment="1">
      <alignment horizontal="center"/>
    </xf>
    <xf numFmtId="9" fontId="10" fillId="0" borderId="43" xfId="0" applyNumberFormat="1" applyFont="1" applyBorder="1" applyAlignment="1">
      <alignment horizontal="center"/>
    </xf>
    <xf numFmtId="9" fontId="10" fillId="0" borderId="44" xfId="0" applyNumberFormat="1" applyFont="1" applyBorder="1" applyAlignment="1">
      <alignment horizontal="center"/>
    </xf>
    <xf numFmtId="9" fontId="10" fillId="0" borderId="42" xfId="0" applyNumberFormat="1" applyFont="1" applyBorder="1" applyAlignment="1">
      <alignment horizontal="center"/>
    </xf>
    <xf numFmtId="9" fontId="10" fillId="0" borderId="43" xfId="0" applyNumberFormat="1" applyFont="1" applyBorder="1" applyAlignment="1">
      <alignment horizontal="center"/>
    </xf>
    <xf numFmtId="9" fontId="10" fillId="0" borderId="45" xfId="0" applyNumberFormat="1" applyFont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1" fontId="9" fillId="0" borderId="47" xfId="0" applyNumberFormat="1" applyFont="1" applyBorder="1" applyAlignment="1">
      <alignment horizontal="center"/>
    </xf>
    <xf numFmtId="9" fontId="9" fillId="0" borderId="48" xfId="0" applyNumberFormat="1" applyFont="1" applyBorder="1" applyAlignment="1">
      <alignment horizontal="center"/>
    </xf>
    <xf numFmtId="9" fontId="9" fillId="0" borderId="49" xfId="0" applyNumberFormat="1" applyFont="1" applyBorder="1" applyAlignment="1">
      <alignment horizontal="center"/>
    </xf>
    <xf numFmtId="9" fontId="9" fillId="0" borderId="47" xfId="0" applyNumberFormat="1" applyFont="1" applyBorder="1" applyAlignment="1">
      <alignment horizontal="center"/>
    </xf>
    <xf numFmtId="9" fontId="9" fillId="0" borderId="50" xfId="0" applyNumberFormat="1" applyFont="1" applyBorder="1" applyAlignment="1">
      <alignment horizontal="center"/>
    </xf>
    <xf numFmtId="9" fontId="10" fillId="0" borderId="44" xfId="0" applyNumberFormat="1" applyFont="1" applyBorder="1" applyAlignment="1">
      <alignment horizontal="center"/>
    </xf>
    <xf numFmtId="9" fontId="10" fillId="0" borderId="14" xfId="0" applyNumberFormat="1" applyFont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9" fontId="10" fillId="0" borderId="42" xfId="0" applyNumberFormat="1" applyFont="1" applyBorder="1" applyAlignment="1">
      <alignment horizontal="center"/>
    </xf>
    <xf numFmtId="9" fontId="10" fillId="0" borderId="51" xfId="0" applyNumberFormat="1" applyFont="1" applyBorder="1" applyAlignment="1">
      <alignment horizontal="center"/>
    </xf>
    <xf numFmtId="9" fontId="10" fillId="0" borderId="45" xfId="0" applyNumberFormat="1" applyFont="1" applyBorder="1" applyAlignment="1">
      <alignment horizontal="center"/>
    </xf>
    <xf numFmtId="9" fontId="9" fillId="0" borderId="52" xfId="0" applyNumberFormat="1" applyFont="1" applyBorder="1" applyAlignment="1">
      <alignment horizontal="center"/>
    </xf>
    <xf numFmtId="9" fontId="10" fillId="0" borderId="20" xfId="0" applyNumberFormat="1" applyFont="1" applyBorder="1" applyAlignment="1">
      <alignment horizontal="center"/>
    </xf>
    <xf numFmtId="9" fontId="15" fillId="0" borderId="6" xfId="0" applyNumberFormat="1" applyFont="1" applyBorder="1" applyAlignment="1">
      <alignment horizontal="center"/>
    </xf>
    <xf numFmtId="9" fontId="16" fillId="0" borderId="0" xfId="0" applyNumberFormat="1" applyFont="1" applyBorder="1" applyAlignment="1">
      <alignment horizontal="center"/>
    </xf>
    <xf numFmtId="9" fontId="10" fillId="0" borderId="21" xfId="0" applyNumberFormat="1" applyFont="1" applyBorder="1" applyAlignment="1">
      <alignment horizontal="center" vertical="center"/>
    </xf>
    <xf numFmtId="9" fontId="10" fillId="0" borderId="20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9" fontId="10" fillId="0" borderId="29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9" fontId="10" fillId="0" borderId="53" xfId="0" applyNumberFormat="1" applyFont="1" applyBorder="1" applyAlignment="1">
      <alignment horizontal="center" vertical="center"/>
    </xf>
    <xf numFmtId="9" fontId="10" fillId="0" borderId="54" xfId="0" applyNumberFormat="1" applyFont="1" applyBorder="1" applyAlignment="1">
      <alignment horizontal="center" vertical="center"/>
    </xf>
    <xf numFmtId="9" fontId="10" fillId="0" borderId="23" xfId="0" applyNumberFormat="1" applyFont="1" applyBorder="1" applyAlignment="1">
      <alignment horizontal="center" vertical="center"/>
    </xf>
    <xf numFmtId="9" fontId="10" fillId="0" borderId="55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5" fontId="10" fillId="0" borderId="56" xfId="0" applyNumberFormat="1" applyFont="1" applyBorder="1" applyAlignment="1">
      <alignment horizontal="center" vertical="center"/>
    </xf>
    <xf numFmtId="9" fontId="10" fillId="0" borderId="57" xfId="0" applyNumberFormat="1" applyFont="1" applyBorder="1" applyAlignment="1">
      <alignment horizontal="center" vertical="center"/>
    </xf>
  </cellXfs>
  <cellStyles count="16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Percent" xfId="26"/>
    <cellStyle name="style_col_headings" xfId="27"/>
    <cellStyle name="Total" xfId="28"/>
    <cellStyle name="Virgule fix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Relationship Id="rId5" Type="http://schemas.openxmlformats.org/officeDocument/2006/relationships/image" Target="../media/image1.wmf" /><Relationship Id="rId6" Type="http://schemas.openxmlformats.org/officeDocument/2006/relationships/image" Target="../media/image3.wmf" /><Relationship Id="rId7" Type="http://schemas.openxmlformats.org/officeDocument/2006/relationships/image" Target="../media/image8.wmf" /><Relationship Id="rId8" Type="http://schemas.openxmlformats.org/officeDocument/2006/relationships/image" Target="../media/image8.wmf" /><Relationship Id="rId9" Type="http://schemas.openxmlformats.org/officeDocument/2006/relationships/image" Target="../media/image1.wmf" /><Relationship Id="rId10" Type="http://schemas.openxmlformats.org/officeDocument/2006/relationships/image" Target="../media/image8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7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7.wmf" /><Relationship Id="rId3" Type="http://schemas.openxmlformats.org/officeDocument/2006/relationships/image" Target="../media/image7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EstateTaxData\VariousDMTGComputations\AggregateEstateTax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M30"/>
    </sheetView>
  </sheetViews>
  <sheetFormatPr defaultColWidth="11.421875" defaultRowHeight="12.75"/>
  <cols>
    <col min="1" max="13" width="9.7109375" style="0" customWidth="1"/>
    <col min="14" max="14" width="10.7109375" style="0" customWidth="1"/>
  </cols>
  <sheetData>
    <row r="1" ht="12.75">
      <c r="A1" s="1"/>
    </row>
    <row r="2" ht="13.5" thickBot="1"/>
    <row r="3" spans="1:13" ht="60" customHeight="1" thickTop="1">
      <c r="A3" s="98" t="s">
        <v>0</v>
      </c>
      <c r="B3" s="90"/>
      <c r="C3" s="90"/>
      <c r="D3" s="90"/>
      <c r="E3" s="90"/>
      <c r="F3" s="90"/>
      <c r="G3" s="91"/>
      <c r="H3" s="91"/>
      <c r="I3" s="91"/>
      <c r="J3" s="91"/>
      <c r="K3" s="91"/>
      <c r="L3" s="91"/>
      <c r="M3" s="99"/>
    </row>
    <row r="4" spans="1:13" ht="15">
      <c r="A4" s="2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5"/>
    </row>
    <row r="5" spans="1:13" ht="18" customHeight="1">
      <c r="A5" s="46" t="s">
        <v>18</v>
      </c>
      <c r="B5" s="40" t="s">
        <v>28</v>
      </c>
      <c r="C5" s="43" t="s">
        <v>34</v>
      </c>
      <c r="D5" s="103" t="s">
        <v>35</v>
      </c>
      <c r="E5" s="104"/>
      <c r="F5" s="100" t="s">
        <v>31</v>
      </c>
      <c r="G5" s="101"/>
      <c r="H5" s="103" t="s">
        <v>32</v>
      </c>
      <c r="I5" s="104"/>
      <c r="J5" s="103" t="s">
        <v>56</v>
      </c>
      <c r="K5" s="101"/>
      <c r="L5" s="107"/>
      <c r="M5" s="108"/>
    </row>
    <row r="6" spans="1:13" ht="18" customHeight="1">
      <c r="A6" s="47">
        <v>0.3</v>
      </c>
      <c r="B6" s="41">
        <f>1-A6</f>
        <v>0.7</v>
      </c>
      <c r="C6" s="11">
        <v>6</v>
      </c>
      <c r="D6" s="111"/>
      <c r="E6" s="112"/>
      <c r="F6" s="102"/>
      <c r="G6" s="102"/>
      <c r="H6" s="105"/>
      <c r="I6" s="106"/>
      <c r="J6" s="105"/>
      <c r="K6" s="109"/>
      <c r="L6" s="109"/>
      <c r="M6" s="110"/>
    </row>
    <row r="7" spans="1:13" ht="15">
      <c r="A7" s="48" t="s">
        <v>15</v>
      </c>
      <c r="B7" s="40" t="s">
        <v>16</v>
      </c>
      <c r="C7" s="38" t="s">
        <v>33</v>
      </c>
      <c r="D7" s="111"/>
      <c r="E7" s="112"/>
      <c r="F7" s="102"/>
      <c r="G7" s="102"/>
      <c r="H7" s="105"/>
      <c r="I7" s="106"/>
      <c r="J7" s="105"/>
      <c r="K7" s="109"/>
      <c r="L7" s="109"/>
      <c r="M7" s="110"/>
    </row>
    <row r="8" spans="1:13" ht="19.5">
      <c r="A8" s="49">
        <v>20</v>
      </c>
      <c r="B8" s="42">
        <v>30</v>
      </c>
      <c r="C8" s="39">
        <v>60</v>
      </c>
      <c r="D8" s="111"/>
      <c r="E8" s="112"/>
      <c r="F8" s="102"/>
      <c r="G8" s="102"/>
      <c r="H8" s="25" t="s">
        <v>30</v>
      </c>
      <c r="I8" s="34">
        <v>0.5</v>
      </c>
      <c r="J8" s="24" t="s">
        <v>29</v>
      </c>
      <c r="K8" s="34">
        <v>0.5</v>
      </c>
      <c r="L8" s="24" t="s">
        <v>29</v>
      </c>
      <c r="M8" s="12">
        <v>0</v>
      </c>
    </row>
    <row r="9" spans="1:13" ht="19.5">
      <c r="A9" s="6" t="s">
        <v>20</v>
      </c>
      <c r="B9" s="7" t="s">
        <v>21</v>
      </c>
      <c r="C9" s="36" t="s">
        <v>22</v>
      </c>
      <c r="D9" s="37" t="s">
        <v>55</v>
      </c>
      <c r="E9" s="38" t="s">
        <v>36</v>
      </c>
      <c r="F9" s="37" t="s">
        <v>55</v>
      </c>
      <c r="G9" s="44" t="s">
        <v>36</v>
      </c>
      <c r="H9" s="37" t="s">
        <v>55</v>
      </c>
      <c r="I9" s="44" t="s">
        <v>36</v>
      </c>
      <c r="J9" s="37" t="s">
        <v>55</v>
      </c>
      <c r="K9" s="44" t="s">
        <v>36</v>
      </c>
      <c r="L9" s="37" t="s">
        <v>55</v>
      </c>
      <c r="M9" s="45" t="s">
        <v>36</v>
      </c>
    </row>
    <row r="10" spans="1:13" ht="15">
      <c r="A10" s="144">
        <v>60</v>
      </c>
      <c r="B10" s="145">
        <f aca="true" t="shared" si="0" ref="B10:B30">A10-B$8</f>
        <v>30</v>
      </c>
      <c r="C10" s="146">
        <v>1E-06</v>
      </c>
      <c r="D10" s="147">
        <f>(A10-$A$8)/B$8</f>
        <v>1.3333333333333333</v>
      </c>
      <c r="E10" s="148">
        <f>$C$6*D10/($A10-$A$8)</f>
        <v>0.2</v>
      </c>
      <c r="F10" s="147">
        <f aca="true" t="shared" si="1" ref="F10:F30">(1-EXP(-(C10*$B$6)*($A10-$A$8)))/(1-EXP(-(C10*$B$6)*$B$8))</f>
        <v>1.3333286666962303</v>
      </c>
      <c r="G10" s="149">
        <f>$C$6*F10/($A10-$A$8)</f>
        <v>0.19999930000443453</v>
      </c>
      <c r="H10" s="148">
        <f aca="true" t="shared" si="2" ref="H10:H30">(1-EXP(-(C10*$B$6*$I$8)*($A10-$A$8)))/(1-EXP(-(C10*$B$6*$I$8)*$B$8))</f>
        <v>1.33333100000236</v>
      </c>
      <c r="I10" s="149">
        <f aca="true" t="shared" si="3" ref="I10:I30">$C$6*H10/($A10-$A$8)</f>
        <v>0.19999965000035397</v>
      </c>
      <c r="J10" s="148">
        <f aca="true" t="shared" si="4" ref="J10:J30">(($A10-$A$8)/(($C$8-$A$8)+K$8*($A10-$C$8)))*(EXP(-($C10*$B$6)*($A10-$C$8))-EXP(-($C10*$B$6)*($A10-$A$8))+K$8*(1-EXP(-($C10*$B$6)*($A10-$C$8))))/(1-EXP(-($C10*$B$6)*$B$8))</f>
        <v>1.3333286666962303</v>
      </c>
      <c r="K10" s="149">
        <f aca="true" t="shared" si="5" ref="K10:K30">$C$6*J10/($A10-$A$8)</f>
        <v>0.19999930000443453</v>
      </c>
      <c r="L10" s="148">
        <f aca="true" t="shared" si="6" ref="L10:L30">(($A10-$A$8)/(($C$8-$A$8)+M$8*($A10-$C$8)))*(EXP(-($C10*$B$6)*($A10-$C$8))-EXP(-($C10*$B$6)*($A10-$A$8))+M$8*(1-EXP(-($C10*$B$6)*($A10-$C$8))))/(1-EXP(-($C10*$B$6)*$B$8))</f>
        <v>1.3333286666962303</v>
      </c>
      <c r="M10" s="150">
        <f aca="true" t="shared" si="7" ref="M10:M30">$C$6*L10/($A10-$A$8)</f>
        <v>0.19999930000443453</v>
      </c>
    </row>
    <row r="11" spans="1:13" ht="15">
      <c r="A11" s="9">
        <v>70</v>
      </c>
      <c r="B11" s="10">
        <f t="shared" si="0"/>
        <v>40</v>
      </c>
      <c r="C11" s="34">
        <v>1E-06</v>
      </c>
      <c r="D11" s="35">
        <f aca="true" t="shared" si="8" ref="D11:D30">(A11-$A$8)/B$8</f>
        <v>1.6666666666666667</v>
      </c>
      <c r="E11" s="24">
        <f aca="true" t="shared" si="9" ref="E11:G30">$C$6*D11/($A11-$A$8)</f>
        <v>0.2</v>
      </c>
      <c r="F11" s="35">
        <f t="shared" si="1"/>
        <v>1.666655000096819</v>
      </c>
      <c r="G11" s="27">
        <f t="shared" si="9"/>
        <v>0.1999986000116183</v>
      </c>
      <c r="H11" s="24">
        <f t="shared" si="2"/>
        <v>1.6666608333550936</v>
      </c>
      <c r="I11" s="27">
        <f t="shared" si="3"/>
        <v>0.19999930000261124</v>
      </c>
      <c r="J11" s="24">
        <f t="shared" si="4"/>
        <v>1.666652407514385</v>
      </c>
      <c r="K11" s="27">
        <f t="shared" si="5"/>
        <v>0.1999982889017262</v>
      </c>
      <c r="L11" s="24">
        <f t="shared" si="6"/>
        <v>1.6666491667863421</v>
      </c>
      <c r="M11" s="32">
        <f t="shared" si="7"/>
        <v>0.19999790001436105</v>
      </c>
    </row>
    <row r="12" spans="1:13" ht="15.75">
      <c r="A12" s="13">
        <v>80</v>
      </c>
      <c r="B12" s="14">
        <f t="shared" si="0"/>
        <v>50</v>
      </c>
      <c r="C12" s="29">
        <v>1E-06</v>
      </c>
      <c r="D12" s="28">
        <f t="shared" si="8"/>
        <v>2</v>
      </c>
      <c r="E12" s="15">
        <f t="shared" si="9"/>
        <v>0.2</v>
      </c>
      <c r="F12" s="28">
        <f t="shared" si="1"/>
        <v>1.999979000222913</v>
      </c>
      <c r="G12" s="29">
        <f t="shared" si="9"/>
        <v>0.1999979000222913</v>
      </c>
      <c r="H12" s="15">
        <f t="shared" si="2"/>
        <v>1.9999895000476275</v>
      </c>
      <c r="I12" s="29">
        <f t="shared" si="3"/>
        <v>0.19999895000476275</v>
      </c>
      <c r="J12" s="15">
        <f t="shared" si="4"/>
        <v>1.999973400268963</v>
      </c>
      <c r="K12" s="29">
        <f t="shared" si="5"/>
        <v>0.1999973400268963</v>
      </c>
      <c r="L12" s="15">
        <f t="shared" si="6"/>
        <v>1.9999650003380383</v>
      </c>
      <c r="M12" s="16">
        <f t="shared" si="7"/>
        <v>0.19999650003380381</v>
      </c>
    </row>
    <row r="13" spans="1:13" ht="15">
      <c r="A13" s="152">
        <v>60</v>
      </c>
      <c r="B13" s="153">
        <f t="shared" si="0"/>
        <v>30</v>
      </c>
      <c r="C13" s="154">
        <v>0.01</v>
      </c>
      <c r="D13" s="155">
        <f t="shared" si="8"/>
        <v>1.3333333333333333</v>
      </c>
      <c r="E13" s="156">
        <f t="shared" si="9"/>
        <v>0.2</v>
      </c>
      <c r="F13" s="155">
        <f t="shared" si="1"/>
        <v>1.2893133403562427</v>
      </c>
      <c r="G13" s="157">
        <f t="shared" si="9"/>
        <v>0.1933970010534364</v>
      </c>
      <c r="H13" s="156">
        <f t="shared" si="2"/>
        <v>1.3106710696646522</v>
      </c>
      <c r="I13" s="157">
        <f t="shared" si="3"/>
        <v>0.19660066044969784</v>
      </c>
      <c r="J13" s="156">
        <f t="shared" si="4"/>
        <v>1.2893133403562427</v>
      </c>
      <c r="K13" s="157">
        <f t="shared" si="5"/>
        <v>0.1933970010534364</v>
      </c>
      <c r="L13" s="156">
        <f t="shared" si="6"/>
        <v>1.2893133403562427</v>
      </c>
      <c r="M13" s="158">
        <f t="shared" si="7"/>
        <v>0.1933970010534364</v>
      </c>
    </row>
    <row r="14" spans="1:13" ht="15">
      <c r="A14" s="9">
        <v>70</v>
      </c>
      <c r="B14" s="10">
        <f t="shared" si="0"/>
        <v>40</v>
      </c>
      <c r="C14" s="34">
        <f>C13</f>
        <v>0.01</v>
      </c>
      <c r="D14" s="35">
        <f t="shared" si="8"/>
        <v>1.6666666666666667</v>
      </c>
      <c r="E14" s="24">
        <f t="shared" si="9"/>
        <v>0.2</v>
      </c>
      <c r="F14" s="35">
        <f t="shared" si="1"/>
        <v>1.5590673109207496</v>
      </c>
      <c r="G14" s="27">
        <f t="shared" si="9"/>
        <v>0.18708807731048996</v>
      </c>
      <c r="H14" s="24">
        <f t="shared" si="2"/>
        <v>1.610656737207373</v>
      </c>
      <c r="I14" s="27">
        <f t="shared" si="3"/>
        <v>0.19327880846488477</v>
      </c>
      <c r="J14" s="24">
        <f t="shared" si="4"/>
        <v>1.5340083896617807</v>
      </c>
      <c r="K14" s="27">
        <f t="shared" si="5"/>
        <v>0.1840810067594137</v>
      </c>
      <c r="L14" s="24">
        <f t="shared" si="6"/>
        <v>1.5026847380880692</v>
      </c>
      <c r="M14" s="32">
        <f t="shared" si="7"/>
        <v>0.18032216857056832</v>
      </c>
    </row>
    <row r="15" spans="1:13" ht="15.75">
      <c r="A15" s="159">
        <v>80</v>
      </c>
      <c r="B15" s="160">
        <f t="shared" si="0"/>
        <v>50</v>
      </c>
      <c r="C15" s="161">
        <f>C14</f>
        <v>0.01</v>
      </c>
      <c r="D15" s="162">
        <f t="shared" si="8"/>
        <v>2</v>
      </c>
      <c r="E15" s="163">
        <f t="shared" si="9"/>
        <v>0.2</v>
      </c>
      <c r="F15" s="162">
        <f t="shared" si="1"/>
        <v>1.8105842459701864</v>
      </c>
      <c r="G15" s="161">
        <f t="shared" si="9"/>
        <v>0.18105842459701862</v>
      </c>
      <c r="H15" s="163">
        <f t="shared" si="2"/>
        <v>1.9003245225862657</v>
      </c>
      <c r="I15" s="161">
        <f t="shared" si="3"/>
        <v>0.19003245225862658</v>
      </c>
      <c r="J15" s="163">
        <f t="shared" si="4"/>
        <v>1.7588756498510574</v>
      </c>
      <c r="K15" s="161">
        <f t="shared" si="5"/>
        <v>0.17588756498510574</v>
      </c>
      <c r="L15" s="163">
        <f t="shared" si="6"/>
        <v>1.6813127556723642</v>
      </c>
      <c r="M15" s="164">
        <f t="shared" si="7"/>
        <v>0.16813127556723642</v>
      </c>
    </row>
    <row r="16" spans="1:13" ht="15">
      <c r="A16" s="9">
        <v>60</v>
      </c>
      <c r="B16" s="10">
        <f t="shared" si="0"/>
        <v>30</v>
      </c>
      <c r="C16" s="34">
        <v>0.02</v>
      </c>
      <c r="D16" s="35">
        <f t="shared" si="8"/>
        <v>1.3333333333333333</v>
      </c>
      <c r="E16" s="24">
        <f t="shared" si="9"/>
        <v>0.2</v>
      </c>
      <c r="F16" s="35">
        <f t="shared" si="1"/>
        <v>1.2502900131147714</v>
      </c>
      <c r="G16" s="27">
        <f t="shared" si="9"/>
        <v>0.18754350196721573</v>
      </c>
      <c r="H16" s="24">
        <f t="shared" si="2"/>
        <v>1.2893133403562427</v>
      </c>
      <c r="I16" s="27">
        <f t="shared" si="3"/>
        <v>0.1933970010534364</v>
      </c>
      <c r="J16" s="24">
        <f t="shared" si="4"/>
        <v>1.2502900131147714</v>
      </c>
      <c r="K16" s="27">
        <f t="shared" si="5"/>
        <v>0.18754350196721573</v>
      </c>
      <c r="L16" s="24">
        <f t="shared" si="6"/>
        <v>1.2502900131147714</v>
      </c>
      <c r="M16" s="32">
        <f t="shared" si="7"/>
        <v>0.18754350196721573</v>
      </c>
    </row>
    <row r="17" spans="1:13" ht="15">
      <c r="A17" s="9">
        <v>70</v>
      </c>
      <c r="B17" s="10">
        <f t="shared" si="0"/>
        <v>40</v>
      </c>
      <c r="C17" s="34">
        <f>C16</f>
        <v>0.02</v>
      </c>
      <c r="D17" s="35">
        <f t="shared" si="8"/>
        <v>1.6666666666666667</v>
      </c>
      <c r="E17" s="24">
        <f t="shared" si="9"/>
        <v>0.2</v>
      </c>
      <c r="F17" s="35">
        <f t="shared" si="1"/>
        <v>1.4678816972541728</v>
      </c>
      <c r="G17" s="27">
        <f t="shared" si="9"/>
        <v>0.17614580367050073</v>
      </c>
      <c r="H17" s="24">
        <f t="shared" si="2"/>
        <v>1.5590673109207496</v>
      </c>
      <c r="I17" s="27">
        <f t="shared" si="3"/>
        <v>0.18708807731048996</v>
      </c>
      <c r="J17" s="24">
        <f t="shared" si="4"/>
        <v>1.4193508982179892</v>
      </c>
      <c r="K17" s="27">
        <f t="shared" si="5"/>
        <v>0.1703221077861587</v>
      </c>
      <c r="L17" s="24">
        <f t="shared" si="6"/>
        <v>1.3586873994227595</v>
      </c>
      <c r="M17" s="32">
        <f t="shared" si="7"/>
        <v>0.16304248793073114</v>
      </c>
    </row>
    <row r="18" spans="1:13" ht="15.75">
      <c r="A18" s="13">
        <v>80</v>
      </c>
      <c r="B18" s="14">
        <f t="shared" si="0"/>
        <v>50</v>
      </c>
      <c r="C18" s="29">
        <f>C17</f>
        <v>0.02</v>
      </c>
      <c r="D18" s="28">
        <f t="shared" si="8"/>
        <v>2</v>
      </c>
      <c r="E18" s="15">
        <f t="shared" si="9"/>
        <v>0.2</v>
      </c>
      <c r="F18" s="28">
        <f t="shared" si="1"/>
        <v>1.6570468198150572</v>
      </c>
      <c r="G18" s="29">
        <f t="shared" si="9"/>
        <v>0.16570468198150573</v>
      </c>
      <c r="H18" s="15">
        <f t="shared" si="2"/>
        <v>1.8105842459701864</v>
      </c>
      <c r="I18" s="29">
        <f t="shared" si="3"/>
        <v>0.18105842459701862</v>
      </c>
      <c r="J18" s="15">
        <f t="shared" si="4"/>
        <v>1.561197410299</v>
      </c>
      <c r="K18" s="29">
        <f t="shared" si="5"/>
        <v>0.1561197410299</v>
      </c>
      <c r="L18" s="15">
        <f t="shared" si="6"/>
        <v>1.417423296024915</v>
      </c>
      <c r="M18" s="16">
        <f t="shared" si="7"/>
        <v>0.14174232960249147</v>
      </c>
    </row>
    <row r="19" spans="1:13" ht="15">
      <c r="A19" s="152">
        <v>60</v>
      </c>
      <c r="B19" s="153">
        <f t="shared" si="0"/>
        <v>30</v>
      </c>
      <c r="C19" s="154">
        <v>0.03</v>
      </c>
      <c r="D19" s="155">
        <f t="shared" si="8"/>
        <v>1.3333333333333333</v>
      </c>
      <c r="E19" s="156">
        <f t="shared" si="9"/>
        <v>0.2</v>
      </c>
      <c r="F19" s="155">
        <f t="shared" si="1"/>
        <v>1.2158312109097305</v>
      </c>
      <c r="G19" s="157">
        <f t="shared" si="9"/>
        <v>0.1823746816364596</v>
      </c>
      <c r="H19" s="156">
        <f t="shared" si="2"/>
        <v>1.2692045127943077</v>
      </c>
      <c r="I19" s="157">
        <f t="shared" si="3"/>
        <v>0.19038067691914615</v>
      </c>
      <c r="J19" s="156">
        <f t="shared" si="4"/>
        <v>1.2158312109097305</v>
      </c>
      <c r="K19" s="157">
        <f t="shared" si="5"/>
        <v>0.1823746816364596</v>
      </c>
      <c r="L19" s="156">
        <f t="shared" si="6"/>
        <v>1.2158312109097305</v>
      </c>
      <c r="M19" s="158">
        <f t="shared" si="7"/>
        <v>0.1823746816364596</v>
      </c>
    </row>
    <row r="20" spans="1:13" ht="15">
      <c r="A20" s="9">
        <v>70</v>
      </c>
      <c r="B20" s="10">
        <f t="shared" si="0"/>
        <v>40</v>
      </c>
      <c r="C20" s="34">
        <f>C19</f>
        <v>0.03</v>
      </c>
      <c r="D20" s="35">
        <f t="shared" si="8"/>
        <v>1.6666666666666667</v>
      </c>
      <c r="E20" s="24">
        <f t="shared" si="9"/>
        <v>0.2</v>
      </c>
      <c r="F20" s="35">
        <f t="shared" si="1"/>
        <v>1.3907805902618262</v>
      </c>
      <c r="G20" s="27">
        <f t="shared" si="9"/>
        <v>0.16689367083141915</v>
      </c>
      <c r="H20" s="24">
        <f t="shared" si="2"/>
        <v>1.5115759372539113</v>
      </c>
      <c r="I20" s="27">
        <f t="shared" si="3"/>
        <v>0.18138911247046935</v>
      </c>
      <c r="J20" s="24">
        <f t="shared" si="4"/>
        <v>1.3201745642133942</v>
      </c>
      <c r="K20" s="27">
        <f t="shared" si="5"/>
        <v>0.1584209477056073</v>
      </c>
      <c r="L20" s="24">
        <f t="shared" si="6"/>
        <v>1.2319170316528538</v>
      </c>
      <c r="M20" s="32">
        <f t="shared" si="7"/>
        <v>0.14783004379834247</v>
      </c>
    </row>
    <row r="21" spans="1:13" ht="15.75">
      <c r="A21" s="159">
        <v>80</v>
      </c>
      <c r="B21" s="160">
        <f t="shared" si="0"/>
        <v>50</v>
      </c>
      <c r="C21" s="161">
        <f>C20</f>
        <v>0.03</v>
      </c>
      <c r="D21" s="162">
        <f t="shared" si="8"/>
        <v>2</v>
      </c>
      <c r="E21" s="163">
        <f t="shared" si="9"/>
        <v>0.2</v>
      </c>
      <c r="F21" s="162">
        <f t="shared" si="1"/>
        <v>1.5325918010068973</v>
      </c>
      <c r="G21" s="161">
        <f t="shared" si="9"/>
        <v>0.15325918010068973</v>
      </c>
      <c r="H21" s="163">
        <f t="shared" si="2"/>
        <v>1.7297888742690566</v>
      </c>
      <c r="I21" s="161">
        <f t="shared" si="3"/>
        <v>0.17297888742690568</v>
      </c>
      <c r="J21" s="163">
        <f t="shared" si="4"/>
        <v>1.3988698989402153</v>
      </c>
      <c r="K21" s="161">
        <f t="shared" si="5"/>
        <v>0.13988698989402154</v>
      </c>
      <c r="L21" s="163">
        <f t="shared" si="6"/>
        <v>1.198287045840192</v>
      </c>
      <c r="M21" s="164">
        <f t="shared" si="7"/>
        <v>0.1198287045840192</v>
      </c>
    </row>
    <row r="22" spans="1:13" ht="15">
      <c r="A22" s="9">
        <v>60</v>
      </c>
      <c r="B22" s="10">
        <f t="shared" si="0"/>
        <v>30</v>
      </c>
      <c r="C22" s="34">
        <v>0.04</v>
      </c>
      <c r="D22" s="35">
        <f t="shared" si="8"/>
        <v>1.3333333333333333</v>
      </c>
      <c r="E22" s="24">
        <f t="shared" si="9"/>
        <v>0.2</v>
      </c>
      <c r="F22" s="35">
        <f t="shared" si="1"/>
        <v>1.1855229300430004</v>
      </c>
      <c r="G22" s="27">
        <f t="shared" si="9"/>
        <v>0.17782843950645005</v>
      </c>
      <c r="H22" s="24">
        <f t="shared" si="2"/>
        <v>1.2502900131147714</v>
      </c>
      <c r="I22" s="27">
        <f t="shared" si="3"/>
        <v>0.18754350196721573</v>
      </c>
      <c r="J22" s="24">
        <f t="shared" si="4"/>
        <v>1.1855229300430004</v>
      </c>
      <c r="K22" s="27">
        <f t="shared" si="5"/>
        <v>0.17782843950645005</v>
      </c>
      <c r="L22" s="24">
        <f t="shared" si="6"/>
        <v>1.1855229300430004</v>
      </c>
      <c r="M22" s="32">
        <f t="shared" si="7"/>
        <v>0.17782843950645005</v>
      </c>
    </row>
    <row r="23" spans="1:13" ht="15">
      <c r="A23" s="9">
        <v>70</v>
      </c>
      <c r="B23" s="10">
        <f t="shared" si="0"/>
        <v>40</v>
      </c>
      <c r="C23" s="34">
        <f>C22</f>
        <v>0.04</v>
      </c>
      <c r="D23" s="35">
        <f t="shared" si="8"/>
        <v>1.6666666666666667</v>
      </c>
      <c r="E23" s="24">
        <f t="shared" si="9"/>
        <v>0.2</v>
      </c>
      <c r="F23" s="35">
        <f t="shared" si="1"/>
        <v>1.3257381442367282</v>
      </c>
      <c r="G23" s="27">
        <f t="shared" si="9"/>
        <v>0.1590885773084074</v>
      </c>
      <c r="H23" s="24">
        <f t="shared" si="2"/>
        <v>1.4678816972541728</v>
      </c>
      <c r="I23" s="27">
        <f t="shared" si="3"/>
        <v>0.17614580367050073</v>
      </c>
      <c r="J23" s="24">
        <f t="shared" si="4"/>
        <v>1.2342983888256565</v>
      </c>
      <c r="K23" s="27">
        <f t="shared" si="5"/>
        <v>0.14811580665907878</v>
      </c>
      <c r="L23" s="24">
        <f t="shared" si="6"/>
        <v>1.1199986945618166</v>
      </c>
      <c r="M23" s="32">
        <f t="shared" si="7"/>
        <v>0.13439984334741797</v>
      </c>
    </row>
    <row r="24" spans="1:13" ht="15.75">
      <c r="A24" s="13">
        <v>80</v>
      </c>
      <c r="B24" s="14">
        <f t="shared" si="0"/>
        <v>50</v>
      </c>
      <c r="C24" s="29">
        <f>C23</f>
        <v>0.04</v>
      </c>
      <c r="D24" s="28">
        <f t="shared" si="8"/>
        <v>2</v>
      </c>
      <c r="E24" s="15">
        <f t="shared" si="9"/>
        <v>0.2</v>
      </c>
      <c r="F24" s="28">
        <f t="shared" si="1"/>
        <v>1.4317105234290795</v>
      </c>
      <c r="G24" s="29">
        <f t="shared" si="9"/>
        <v>0.14317105234290795</v>
      </c>
      <c r="H24" s="15">
        <f t="shared" si="2"/>
        <v>1.6570468198150572</v>
      </c>
      <c r="I24" s="29">
        <f t="shared" si="3"/>
        <v>0.16570468198150573</v>
      </c>
      <c r="J24" s="15">
        <f t="shared" si="4"/>
        <v>1.2653351798821475</v>
      </c>
      <c r="K24" s="29">
        <f t="shared" si="5"/>
        <v>0.12653351798821474</v>
      </c>
      <c r="L24" s="15">
        <f t="shared" si="6"/>
        <v>1.0157721645617492</v>
      </c>
      <c r="M24" s="16">
        <f t="shared" si="7"/>
        <v>0.10157721645617493</v>
      </c>
    </row>
    <row r="25" spans="1:13" ht="15">
      <c r="A25" s="152">
        <v>60</v>
      </c>
      <c r="B25" s="153">
        <f t="shared" si="0"/>
        <v>30</v>
      </c>
      <c r="C25" s="154">
        <v>0.05</v>
      </c>
      <c r="D25" s="155">
        <f t="shared" si="8"/>
        <v>1.3333333333333333</v>
      </c>
      <c r="E25" s="156">
        <f t="shared" si="9"/>
        <v>0.2</v>
      </c>
      <c r="F25" s="155">
        <f t="shared" si="1"/>
        <v>1.1589705986284373</v>
      </c>
      <c r="G25" s="157">
        <f t="shared" si="9"/>
        <v>0.1738455897942656</v>
      </c>
      <c r="H25" s="156">
        <f t="shared" si="2"/>
        <v>1.232516361558231</v>
      </c>
      <c r="I25" s="157">
        <f t="shared" si="3"/>
        <v>0.18487745423373467</v>
      </c>
      <c r="J25" s="156">
        <f t="shared" si="4"/>
        <v>1.1589705986284373</v>
      </c>
      <c r="K25" s="157">
        <f t="shared" si="5"/>
        <v>0.1738455897942656</v>
      </c>
      <c r="L25" s="156">
        <f t="shared" si="6"/>
        <v>1.1589705986284373</v>
      </c>
      <c r="M25" s="158">
        <f t="shared" si="7"/>
        <v>0.1738455897942656</v>
      </c>
    </row>
    <row r="26" spans="1:13" ht="15">
      <c r="A26" s="9">
        <v>70</v>
      </c>
      <c r="B26" s="10">
        <f t="shared" si="0"/>
        <v>40</v>
      </c>
      <c r="C26" s="34">
        <v>0.05</v>
      </c>
      <c r="D26" s="35">
        <f t="shared" si="8"/>
        <v>1.6666666666666667</v>
      </c>
      <c r="E26" s="24">
        <f t="shared" si="9"/>
        <v>0.2</v>
      </c>
      <c r="F26" s="35">
        <f t="shared" si="1"/>
        <v>1.270995286097351</v>
      </c>
      <c r="G26" s="27">
        <f t="shared" si="9"/>
        <v>0.1525194343316821</v>
      </c>
      <c r="H26" s="24">
        <f t="shared" si="2"/>
        <v>1.4277038537119995</v>
      </c>
      <c r="I26" s="27">
        <f t="shared" si="3"/>
        <v>0.17132446244543992</v>
      </c>
      <c r="J26" s="24">
        <f t="shared" si="4"/>
        <v>1.159837812936099</v>
      </c>
      <c r="K26" s="27">
        <f t="shared" si="5"/>
        <v>0.1391805375523319</v>
      </c>
      <c r="L26" s="24">
        <f t="shared" si="6"/>
        <v>1.020890971484534</v>
      </c>
      <c r="M26" s="32">
        <f t="shared" si="7"/>
        <v>0.12250691657814407</v>
      </c>
    </row>
    <row r="27" spans="1:13" ht="15.75">
      <c r="A27" s="159">
        <v>80</v>
      </c>
      <c r="B27" s="160">
        <f t="shared" si="0"/>
        <v>50</v>
      </c>
      <c r="C27" s="161">
        <f>C26</f>
        <v>0.05</v>
      </c>
      <c r="D27" s="162">
        <f t="shared" si="8"/>
        <v>2</v>
      </c>
      <c r="E27" s="163">
        <f t="shared" si="9"/>
        <v>0.2</v>
      </c>
      <c r="F27" s="162">
        <f t="shared" si="1"/>
        <v>1.3499377491111555</v>
      </c>
      <c r="G27" s="161">
        <f t="shared" si="9"/>
        <v>0.13499377491111553</v>
      </c>
      <c r="H27" s="163">
        <f t="shared" si="2"/>
        <v>1.5915553643668148</v>
      </c>
      <c r="I27" s="161">
        <f t="shared" si="3"/>
        <v>0.15915553643668148</v>
      </c>
      <c r="J27" s="163">
        <f t="shared" si="4"/>
        <v>1.155279309549822</v>
      </c>
      <c r="K27" s="161">
        <f t="shared" si="5"/>
        <v>0.11552793095498219</v>
      </c>
      <c r="L27" s="163">
        <f t="shared" si="6"/>
        <v>0.8632916502078213</v>
      </c>
      <c r="M27" s="164">
        <f t="shared" si="7"/>
        <v>0.08632916502078213</v>
      </c>
    </row>
    <row r="28" spans="1:13" ht="15">
      <c r="A28" s="9">
        <v>60</v>
      </c>
      <c r="B28" s="10">
        <f t="shared" si="0"/>
        <v>30</v>
      </c>
      <c r="C28" s="34">
        <v>0.1</v>
      </c>
      <c r="D28" s="35">
        <f t="shared" si="8"/>
        <v>1.3333333333333333</v>
      </c>
      <c r="E28" s="24">
        <f t="shared" si="9"/>
        <v>0.2</v>
      </c>
      <c r="F28" s="35">
        <f t="shared" si="1"/>
        <v>1.070248780359747</v>
      </c>
      <c r="G28" s="27">
        <f t="shared" si="9"/>
        <v>0.16053731705396204</v>
      </c>
      <c r="H28" s="24">
        <f t="shared" si="2"/>
        <v>1.1589705986284373</v>
      </c>
      <c r="I28" s="27">
        <f t="shared" si="3"/>
        <v>0.1738455897942656</v>
      </c>
      <c r="J28" s="24">
        <f t="shared" si="4"/>
        <v>1.070248780359747</v>
      </c>
      <c r="K28" s="27">
        <f t="shared" si="5"/>
        <v>0.16053731705396204</v>
      </c>
      <c r="L28" s="24">
        <f t="shared" si="6"/>
        <v>1.070248780359747</v>
      </c>
      <c r="M28" s="32">
        <f t="shared" si="7"/>
        <v>0.16053731705396204</v>
      </c>
    </row>
    <row r="29" spans="1:13" ht="15">
      <c r="A29" s="9">
        <v>70</v>
      </c>
      <c r="B29" s="10">
        <f t="shared" si="0"/>
        <v>40</v>
      </c>
      <c r="C29" s="34">
        <f>C28</f>
        <v>0.1</v>
      </c>
      <c r="D29" s="35">
        <f t="shared" si="8"/>
        <v>1.6666666666666667</v>
      </c>
      <c r="E29" s="24">
        <f t="shared" si="9"/>
        <v>0.2</v>
      </c>
      <c r="F29" s="35">
        <f t="shared" si="1"/>
        <v>1.1051332922956678</v>
      </c>
      <c r="G29" s="27">
        <f t="shared" si="9"/>
        <v>0.13261599507548014</v>
      </c>
      <c r="H29" s="24">
        <f t="shared" si="2"/>
        <v>1.270995286097351</v>
      </c>
      <c r="I29" s="27">
        <f t="shared" si="3"/>
        <v>0.1525194343316821</v>
      </c>
      <c r="J29" s="24">
        <f t="shared" si="4"/>
        <v>0.9092239489016656</v>
      </c>
      <c r="K29" s="27">
        <f t="shared" si="5"/>
        <v>0.10910687386819987</v>
      </c>
      <c r="L29" s="24">
        <f t="shared" si="6"/>
        <v>0.664337269659163</v>
      </c>
      <c r="M29" s="32">
        <f t="shared" si="7"/>
        <v>0.07972047235909956</v>
      </c>
    </row>
    <row r="30" spans="1:13" ht="16.5" thickBot="1">
      <c r="A30" s="17">
        <v>80</v>
      </c>
      <c r="B30" s="18">
        <f t="shared" si="0"/>
        <v>50</v>
      </c>
      <c r="C30" s="31">
        <f>C29</f>
        <v>0.1</v>
      </c>
      <c r="D30" s="30">
        <f t="shared" si="8"/>
        <v>2</v>
      </c>
      <c r="E30" s="19">
        <f t="shared" si="9"/>
        <v>0.2</v>
      </c>
      <c r="F30" s="30">
        <f t="shared" si="1"/>
        <v>1.122456428252982</v>
      </c>
      <c r="G30" s="31">
        <f t="shared" si="9"/>
        <v>0.11224564282529821</v>
      </c>
      <c r="H30" s="19">
        <f t="shared" si="2"/>
        <v>1.3499377491111555</v>
      </c>
      <c r="I30" s="31">
        <f t="shared" si="3"/>
        <v>0.13499377491111553</v>
      </c>
      <c r="J30" s="19">
        <f t="shared" si="4"/>
        <v>0.8318259168911416</v>
      </c>
      <c r="K30" s="31">
        <f t="shared" si="5"/>
        <v>0.08318259168911417</v>
      </c>
      <c r="L30" s="19">
        <f t="shared" si="6"/>
        <v>0.3958801498483812</v>
      </c>
      <c r="M30" s="20">
        <f t="shared" si="7"/>
        <v>0.03958801498483812</v>
      </c>
    </row>
    <row r="31" ht="13.5" thickTop="1"/>
  </sheetData>
  <mergeCells count="5">
    <mergeCell ref="A3:M3"/>
    <mergeCell ref="F5:G8"/>
    <mergeCell ref="H5:I7"/>
    <mergeCell ref="J5:M7"/>
    <mergeCell ref="D5:E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pane xSplit="1" ySplit="9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O27"/>
    </sheetView>
  </sheetViews>
  <sheetFormatPr defaultColWidth="11.421875" defaultRowHeight="12.75"/>
  <cols>
    <col min="1" max="15" width="8.7109375" style="0" customWidth="1"/>
  </cols>
  <sheetData>
    <row r="1" ht="12.75">
      <c r="A1" s="1"/>
    </row>
    <row r="2" ht="13.5" thickBot="1"/>
    <row r="3" spans="1:15" ht="60" customHeight="1" thickTop="1">
      <c r="A3" s="98" t="s">
        <v>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91"/>
      <c r="O3" s="99"/>
    </row>
    <row r="4" spans="1:15" ht="19.5" customHeight="1">
      <c r="A4" s="73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4"/>
      <c r="N4" s="4"/>
      <c r="O4" s="5"/>
    </row>
    <row r="5" spans="1:15" ht="15">
      <c r="A5" s="6" t="s">
        <v>15</v>
      </c>
      <c r="B5" s="7" t="s">
        <v>16</v>
      </c>
      <c r="C5" s="23" t="s">
        <v>47</v>
      </c>
      <c r="D5" s="23" t="s">
        <v>48</v>
      </c>
      <c r="E5" s="7"/>
      <c r="F5" s="4"/>
      <c r="G5" s="4"/>
      <c r="H5" s="3"/>
      <c r="I5" s="3"/>
      <c r="J5" s="3"/>
      <c r="K5" s="3"/>
      <c r="L5" s="3"/>
      <c r="M5" s="4"/>
      <c r="N5" s="4"/>
      <c r="O5" s="5"/>
    </row>
    <row r="6" spans="1:15" ht="15">
      <c r="A6" s="6">
        <v>20</v>
      </c>
      <c r="B6" s="7">
        <v>30</v>
      </c>
      <c r="C6" s="11">
        <v>0.02</v>
      </c>
      <c r="D6" s="7">
        <v>5</v>
      </c>
      <c r="E6" s="24"/>
      <c r="F6" s="4"/>
      <c r="G6" s="4"/>
      <c r="H6" s="7"/>
      <c r="I6" s="7"/>
      <c r="J6" s="7"/>
      <c r="K6" s="7"/>
      <c r="L6" s="7"/>
      <c r="M6" s="4"/>
      <c r="N6" s="4"/>
      <c r="O6" s="5"/>
    </row>
    <row r="7" spans="1:15" ht="15">
      <c r="A7" s="6" t="s">
        <v>33</v>
      </c>
      <c r="B7" s="23" t="s">
        <v>18</v>
      </c>
      <c r="C7" s="23" t="s">
        <v>28</v>
      </c>
      <c r="D7" s="23" t="s">
        <v>29</v>
      </c>
      <c r="E7" s="23"/>
      <c r="F7" s="23"/>
      <c r="G7" s="4"/>
      <c r="H7" s="4"/>
      <c r="I7" s="23"/>
      <c r="J7" s="23"/>
      <c r="K7" s="23"/>
      <c r="L7" s="23"/>
      <c r="M7" s="4"/>
      <c r="N7" s="4"/>
      <c r="O7" s="5"/>
    </row>
    <row r="8" spans="1:15" ht="15">
      <c r="A8" s="6">
        <v>60</v>
      </c>
      <c r="B8" s="11">
        <v>0.3</v>
      </c>
      <c r="C8" s="11">
        <f>1-B8</f>
        <v>0.7</v>
      </c>
      <c r="D8" s="11">
        <v>1</v>
      </c>
      <c r="E8" s="4"/>
      <c r="F8" s="11"/>
      <c r="G8" s="4"/>
      <c r="H8" s="4"/>
      <c r="I8" s="11"/>
      <c r="J8" s="11"/>
      <c r="K8" s="11"/>
      <c r="L8" s="11"/>
      <c r="M8" s="4"/>
      <c r="N8" s="4"/>
      <c r="O8" s="5"/>
    </row>
    <row r="9" spans="1:15" ht="19.5">
      <c r="A9" s="6" t="s">
        <v>20</v>
      </c>
      <c r="B9" s="7" t="s">
        <v>21</v>
      </c>
      <c r="C9" s="7" t="s">
        <v>22</v>
      </c>
      <c r="D9" s="7" t="s">
        <v>19</v>
      </c>
      <c r="E9" s="7" t="s">
        <v>49</v>
      </c>
      <c r="F9" s="23" t="s">
        <v>52</v>
      </c>
      <c r="G9" s="7" t="s">
        <v>26</v>
      </c>
      <c r="H9" s="7" t="s">
        <v>36</v>
      </c>
      <c r="I9" s="7" t="s">
        <v>53</v>
      </c>
      <c r="J9" s="7" t="s">
        <v>54</v>
      </c>
      <c r="K9" s="23" t="s">
        <v>4</v>
      </c>
      <c r="L9" s="23" t="s">
        <v>11</v>
      </c>
      <c r="M9" s="23" t="s">
        <v>17</v>
      </c>
      <c r="N9" s="23" t="s">
        <v>13</v>
      </c>
      <c r="O9" s="88" t="s">
        <v>24</v>
      </c>
    </row>
    <row r="10" spans="1:15" ht="15">
      <c r="A10" s="144">
        <v>60</v>
      </c>
      <c r="B10" s="145">
        <f aca="true" t="shared" si="0" ref="B10:B27">A10-B$6</f>
        <v>30</v>
      </c>
      <c r="C10" s="166">
        <v>0</v>
      </c>
      <c r="D10" s="166">
        <v>0.0377</v>
      </c>
      <c r="E10" s="166">
        <f aca="true" t="shared" si="1" ref="E10:E27">D10-C10</f>
        <v>0.0377</v>
      </c>
      <c r="F10" s="166">
        <v>0.1</v>
      </c>
      <c r="G10" s="166">
        <f aca="true" t="shared" si="2" ref="G10:G27">(EXP($E10*($B10-$A$6))-EXP(-$E10*($A$8-$B10))+D$8*(EXP(-$E10*($A$8-$B10))-EXP(-$E10*$B$6)))/($E10*($A10-$A$6))</f>
        <v>0.7527811172033106</v>
      </c>
      <c r="H10" s="166">
        <f aca="true" t="shared" si="3" ref="H10:H27">F10*EXP($E10*$B$6)*G10*$C$8/(1-F10*EXP($E10*$B$6))</f>
        <v>0.23660629158402025</v>
      </c>
      <c r="I10" s="166">
        <f aca="true" t="shared" si="4" ref="I10:I27">(D10-C$6)/D$6</f>
        <v>0.0035399999999999993</v>
      </c>
      <c r="J10" s="166">
        <f aca="true" t="shared" si="5" ref="J10:J27">1-(1-F10)*((D10-I10)*(1-EXP(-E10*(A10-A$6))))/(E10*(1-EXP(-(D10-I10)*(A10-A$6))))</f>
        <v>0.14765106228498148</v>
      </c>
      <c r="K10" s="166">
        <f aca="true" t="shared" si="6" ref="K10:K27">(C$8/(A10-A$6))*((EXP(E10*(A10-A$6))-1-E10*(A10-A$6))/(E10^2)-(1-J10)*((EXP(E10*(A10-A$6))-1)/E10-(1-EXP(-(C10-I10)*(A10-A$6)))/(C10-I10))/(D10-I10))</f>
        <v>2.7650124671740968</v>
      </c>
      <c r="L10" s="166">
        <f aca="true" t="shared" si="7" ref="L10:L27">H10*(((EXP(E10*B$6)-1)/E10)-((1-F10)/(1-EXP(-(D10-I10)*B$6))*(((EXP(E10*B$6)-1)/E10)-(1-EXP(-(C10-I10)*B$6))/(C10-I10))))</f>
        <v>5.194183151835294</v>
      </c>
      <c r="M10" s="166">
        <f aca="true" t="shared" si="8" ref="M10:M27">K10+L10</f>
        <v>7.959195619009391</v>
      </c>
      <c r="N10" s="166">
        <f aca="true" t="shared" si="9" ref="N10:N27">B$8/D10</f>
        <v>7.957559681697613</v>
      </c>
      <c r="O10" s="150">
        <f aca="true" t="shared" si="10" ref="O10:O27">H10/(M10/(A10-A$6))</f>
        <v>1.1890965012540726</v>
      </c>
    </row>
    <row r="11" spans="1:15" ht="15">
      <c r="A11" s="9">
        <v>70</v>
      </c>
      <c r="B11" s="10">
        <f t="shared" si="0"/>
        <v>40</v>
      </c>
      <c r="C11" s="11">
        <f>C10</f>
        <v>0</v>
      </c>
      <c r="D11" s="11">
        <v>0.03351</v>
      </c>
      <c r="E11" s="11">
        <f t="shared" si="1"/>
        <v>0.03351</v>
      </c>
      <c r="F11" s="11">
        <v>0.1</v>
      </c>
      <c r="G11" s="11">
        <f t="shared" si="2"/>
        <v>0.9481906113419774</v>
      </c>
      <c r="H11" s="11">
        <f t="shared" si="3"/>
        <v>0.24958498601415402</v>
      </c>
      <c r="I11" s="11">
        <f t="shared" si="4"/>
        <v>0.0027019999999999995</v>
      </c>
      <c r="J11" s="11">
        <f t="shared" si="5"/>
        <v>0.14405039886927484</v>
      </c>
      <c r="K11" s="11">
        <f t="shared" si="6"/>
        <v>3.6676945228247746</v>
      </c>
      <c r="L11" s="11">
        <f t="shared" si="7"/>
        <v>5.286559435954669</v>
      </c>
      <c r="M11" s="11">
        <f t="shared" si="8"/>
        <v>8.954253958779443</v>
      </c>
      <c r="N11" s="11">
        <f t="shared" si="9"/>
        <v>8.952551477170994</v>
      </c>
      <c r="O11" s="12">
        <f t="shared" si="10"/>
        <v>1.3936671171216983</v>
      </c>
    </row>
    <row r="12" spans="1:15" ht="15.75">
      <c r="A12" s="13">
        <v>80</v>
      </c>
      <c r="B12" s="14">
        <f t="shared" si="0"/>
        <v>50</v>
      </c>
      <c r="C12" s="15">
        <f>C10</f>
        <v>0</v>
      </c>
      <c r="D12" s="15">
        <v>0.03009</v>
      </c>
      <c r="E12" s="15">
        <f t="shared" si="1"/>
        <v>0.03009</v>
      </c>
      <c r="F12" s="15">
        <v>0.1</v>
      </c>
      <c r="G12" s="15">
        <f t="shared" si="2"/>
        <v>1.1414532018454266</v>
      </c>
      <c r="H12" s="15">
        <f t="shared" si="3"/>
        <v>0.2615668779496862</v>
      </c>
      <c r="I12" s="15">
        <f t="shared" si="4"/>
        <v>0.002018</v>
      </c>
      <c r="J12" s="15">
        <f t="shared" si="5"/>
        <v>0.1385419338512187</v>
      </c>
      <c r="K12" s="15">
        <f t="shared" si="6"/>
        <v>4.589714321388296</v>
      </c>
      <c r="L12" s="15">
        <f t="shared" si="7"/>
        <v>5.383489818015542</v>
      </c>
      <c r="M12" s="15">
        <f t="shared" si="8"/>
        <v>9.973204139403839</v>
      </c>
      <c r="N12" s="15">
        <f t="shared" si="9"/>
        <v>9.970089730807578</v>
      </c>
      <c r="O12" s="16">
        <f t="shared" si="10"/>
        <v>1.5736179123191298</v>
      </c>
    </row>
    <row r="13" spans="1:15" ht="15">
      <c r="A13" s="152">
        <v>60</v>
      </c>
      <c r="B13" s="153">
        <f t="shared" si="0"/>
        <v>30</v>
      </c>
      <c r="C13" s="168">
        <v>0.01</v>
      </c>
      <c r="D13" s="168">
        <v>0.04575</v>
      </c>
      <c r="E13" s="168">
        <f t="shared" si="1"/>
        <v>0.03575</v>
      </c>
      <c r="F13" s="168">
        <v>0.1</v>
      </c>
      <c r="G13" s="168">
        <f t="shared" si="2"/>
        <v>0.7605583911286571</v>
      </c>
      <c r="H13" s="168">
        <f t="shared" si="3"/>
        <v>0.21985807517194003</v>
      </c>
      <c r="I13" s="168">
        <f t="shared" si="4"/>
        <v>0.00515</v>
      </c>
      <c r="J13" s="168">
        <f t="shared" si="5"/>
        <v>0.03162390656115921</v>
      </c>
      <c r="K13" s="168">
        <f t="shared" si="6"/>
        <v>2.0074049213007696</v>
      </c>
      <c r="L13" s="168">
        <f t="shared" si="7"/>
        <v>4.55719818188496</v>
      </c>
      <c r="M13" s="168">
        <f t="shared" si="8"/>
        <v>6.56460310318573</v>
      </c>
      <c r="N13" s="168">
        <f t="shared" si="9"/>
        <v>6.557377049180328</v>
      </c>
      <c r="O13" s="170">
        <f t="shared" si="10"/>
        <v>1.339657991297267</v>
      </c>
    </row>
    <row r="14" spans="1:15" ht="15">
      <c r="A14" s="9">
        <v>70</v>
      </c>
      <c r="B14" s="10">
        <f t="shared" si="0"/>
        <v>40</v>
      </c>
      <c r="C14" s="11">
        <f>C13</f>
        <v>0.01</v>
      </c>
      <c r="D14" s="11">
        <v>0.041815</v>
      </c>
      <c r="E14" s="11">
        <f t="shared" si="1"/>
        <v>0.031814999999999996</v>
      </c>
      <c r="F14" s="11">
        <v>0.1</v>
      </c>
      <c r="G14" s="11">
        <f t="shared" si="2"/>
        <v>0.9457507565749119</v>
      </c>
      <c r="H14" s="11">
        <f t="shared" si="3"/>
        <v>0.2322702226109271</v>
      </c>
      <c r="I14" s="11">
        <f t="shared" si="4"/>
        <v>0.004363</v>
      </c>
      <c r="J14" s="11">
        <f t="shared" si="5"/>
        <v>0.0031946834555687253</v>
      </c>
      <c r="K14" s="11">
        <f t="shared" si="6"/>
        <v>2.5144682548387727</v>
      </c>
      <c r="L14" s="11">
        <f t="shared" si="7"/>
        <v>4.659481214022398</v>
      </c>
      <c r="M14" s="11">
        <f t="shared" si="8"/>
        <v>7.173949468861171</v>
      </c>
      <c r="N14" s="11">
        <f t="shared" si="9"/>
        <v>7.1744589262226475</v>
      </c>
      <c r="O14" s="12">
        <f t="shared" si="10"/>
        <v>1.6188448470337418</v>
      </c>
    </row>
    <row r="15" spans="1:15" ht="15.75">
      <c r="A15" s="159">
        <v>80</v>
      </c>
      <c r="B15" s="160">
        <f t="shared" si="0"/>
        <v>50</v>
      </c>
      <c r="C15" s="163">
        <f>C13</f>
        <v>0.01</v>
      </c>
      <c r="D15" s="163">
        <v>0.03867</v>
      </c>
      <c r="E15" s="163">
        <f t="shared" si="1"/>
        <v>0.02867</v>
      </c>
      <c r="F15" s="163">
        <v>0.1</v>
      </c>
      <c r="G15" s="163">
        <f t="shared" si="2"/>
        <v>1.1279370150948178</v>
      </c>
      <c r="H15" s="163">
        <f t="shared" si="3"/>
        <v>0.2443539480431752</v>
      </c>
      <c r="I15" s="163">
        <f t="shared" si="4"/>
        <v>0.0037340000000000003</v>
      </c>
      <c r="J15" s="163">
        <f t="shared" si="5"/>
        <v>-0.02654889952504802</v>
      </c>
      <c r="K15" s="163">
        <f t="shared" si="6"/>
        <v>2.9842267190206786</v>
      </c>
      <c r="L15" s="163">
        <f t="shared" si="7"/>
        <v>4.77741511283565</v>
      </c>
      <c r="M15" s="163">
        <f t="shared" si="8"/>
        <v>7.761641831856329</v>
      </c>
      <c r="N15" s="163">
        <f t="shared" si="9"/>
        <v>7.757951900698215</v>
      </c>
      <c r="O15" s="164">
        <f t="shared" si="10"/>
        <v>1.8889349959973645</v>
      </c>
    </row>
    <row r="16" spans="1:15" ht="15">
      <c r="A16" s="9">
        <v>60</v>
      </c>
      <c r="B16" s="10">
        <f t="shared" si="0"/>
        <v>30</v>
      </c>
      <c r="C16" s="11">
        <v>0.02001</v>
      </c>
      <c r="D16" s="11">
        <v>0.0546</v>
      </c>
      <c r="E16" s="11">
        <f t="shared" si="1"/>
        <v>0.03459</v>
      </c>
      <c r="F16" s="11">
        <v>0.1</v>
      </c>
      <c r="G16" s="11">
        <f t="shared" si="2"/>
        <v>0.7653893605744394</v>
      </c>
      <c r="H16" s="11">
        <f t="shared" si="3"/>
        <v>0.2107112831334877</v>
      </c>
      <c r="I16" s="11">
        <f t="shared" si="4"/>
        <v>0.006920000000000001</v>
      </c>
      <c r="J16" s="11">
        <f t="shared" si="5"/>
        <v>-0.09172135858203334</v>
      </c>
      <c r="K16" s="11">
        <f t="shared" si="6"/>
        <v>1.3344084566260959</v>
      </c>
      <c r="L16" s="11">
        <f t="shared" si="7"/>
        <v>4.152693641951403</v>
      </c>
      <c r="M16" s="11">
        <f t="shared" si="8"/>
        <v>5.487102098577499</v>
      </c>
      <c r="N16" s="11">
        <f t="shared" si="9"/>
        <v>5.494505494505494</v>
      </c>
      <c r="O16" s="12">
        <f t="shared" si="10"/>
        <v>1.536047839810478</v>
      </c>
    </row>
    <row r="17" spans="1:15" ht="15">
      <c r="A17" s="9">
        <v>70</v>
      </c>
      <c r="B17" s="10">
        <f t="shared" si="0"/>
        <v>40</v>
      </c>
      <c r="C17" s="11">
        <f>C16</f>
        <v>0.02001</v>
      </c>
      <c r="D17" s="11">
        <v>0.05115</v>
      </c>
      <c r="E17" s="11">
        <f t="shared" si="1"/>
        <v>0.03114</v>
      </c>
      <c r="F17" s="11">
        <v>0.1</v>
      </c>
      <c r="G17" s="11">
        <f t="shared" si="2"/>
        <v>0.9449198935661333</v>
      </c>
      <c r="H17" s="11">
        <f t="shared" si="3"/>
        <v>0.22582580753180992</v>
      </c>
      <c r="I17" s="11">
        <f t="shared" si="4"/>
        <v>0.00623</v>
      </c>
      <c r="J17" s="11">
        <f t="shared" si="5"/>
        <v>-0.14589416408531863</v>
      </c>
      <c r="K17" s="11">
        <f t="shared" si="6"/>
        <v>1.5422083729495715</v>
      </c>
      <c r="L17" s="11">
        <f t="shared" si="7"/>
        <v>4.327227859194008</v>
      </c>
      <c r="M17" s="11">
        <f t="shared" si="8"/>
        <v>5.869436232143579</v>
      </c>
      <c r="N17" s="11">
        <f t="shared" si="9"/>
        <v>5.865102639296187</v>
      </c>
      <c r="O17" s="12">
        <f t="shared" si="10"/>
        <v>1.923743598193382</v>
      </c>
    </row>
    <row r="18" spans="1:15" ht="15.75">
      <c r="A18" s="13">
        <v>80</v>
      </c>
      <c r="B18" s="14">
        <f t="shared" si="0"/>
        <v>50</v>
      </c>
      <c r="C18" s="15">
        <f>C16</f>
        <v>0.02001</v>
      </c>
      <c r="D18" s="15">
        <v>0.04835</v>
      </c>
      <c r="E18" s="15">
        <f t="shared" si="1"/>
        <v>0.028339999999999997</v>
      </c>
      <c r="F18" s="15">
        <v>0.1</v>
      </c>
      <c r="G18" s="15">
        <f t="shared" si="2"/>
        <v>1.1249031819468167</v>
      </c>
      <c r="H18" s="15">
        <f t="shared" si="3"/>
        <v>0.24056259199908922</v>
      </c>
      <c r="I18" s="15">
        <f t="shared" si="4"/>
        <v>0.00567</v>
      </c>
      <c r="J18" s="15">
        <f t="shared" si="5"/>
        <v>-0.20062881417297618</v>
      </c>
      <c r="K18" s="15">
        <f t="shared" si="6"/>
        <v>1.6898284513157384</v>
      </c>
      <c r="L18" s="15">
        <f t="shared" si="7"/>
        <v>4.50730201737922</v>
      </c>
      <c r="M18" s="15">
        <f t="shared" si="8"/>
        <v>6.197130468694958</v>
      </c>
      <c r="N18" s="15">
        <f t="shared" si="9"/>
        <v>6.204756980351603</v>
      </c>
      <c r="O18" s="16">
        <f t="shared" si="10"/>
        <v>2.3291030571097417</v>
      </c>
    </row>
    <row r="19" spans="1:15" ht="15">
      <c r="A19" s="152">
        <v>60</v>
      </c>
      <c r="B19" s="153">
        <f t="shared" si="0"/>
        <v>30</v>
      </c>
      <c r="C19" s="168">
        <v>0.03</v>
      </c>
      <c r="D19" s="168">
        <v>0.0642</v>
      </c>
      <c r="E19" s="168">
        <f t="shared" si="1"/>
        <v>0.034199999999999994</v>
      </c>
      <c r="F19" s="168">
        <v>0.1</v>
      </c>
      <c r="G19" s="168">
        <f t="shared" si="2"/>
        <v>0.7670485740022726</v>
      </c>
      <c r="H19" s="168">
        <f t="shared" si="3"/>
        <v>0.20776136520915048</v>
      </c>
      <c r="I19" s="168">
        <f t="shared" si="4"/>
        <v>0.008839999999999997</v>
      </c>
      <c r="J19" s="168">
        <f t="shared" si="5"/>
        <v>-0.21905080006747268</v>
      </c>
      <c r="K19" s="168">
        <f t="shared" si="6"/>
        <v>0.7462337683018722</v>
      </c>
      <c r="L19" s="168">
        <f t="shared" si="7"/>
        <v>3.91899500204581</v>
      </c>
      <c r="M19" s="168">
        <f t="shared" si="8"/>
        <v>4.6652287703476825</v>
      </c>
      <c r="N19" s="168">
        <f t="shared" si="9"/>
        <v>4.672897196261682</v>
      </c>
      <c r="O19" s="170">
        <f t="shared" si="10"/>
        <v>1.7813605757530024</v>
      </c>
    </row>
    <row r="20" spans="1:15" ht="15">
      <c r="A20" s="9">
        <v>70</v>
      </c>
      <c r="B20" s="10">
        <f t="shared" si="0"/>
        <v>40</v>
      </c>
      <c r="C20" s="11">
        <f>C19</f>
        <v>0.03</v>
      </c>
      <c r="D20" s="11">
        <v>0.0612</v>
      </c>
      <c r="E20" s="11">
        <f t="shared" si="1"/>
        <v>0.0312</v>
      </c>
      <c r="F20" s="11">
        <v>0.1</v>
      </c>
      <c r="G20" s="11">
        <f t="shared" si="2"/>
        <v>0.9449904932006203</v>
      </c>
      <c r="H20" s="11">
        <f t="shared" si="3"/>
        <v>0.22638881419841386</v>
      </c>
      <c r="I20" s="11">
        <f t="shared" si="4"/>
        <v>0.00824</v>
      </c>
      <c r="J20" s="11">
        <f t="shared" si="5"/>
        <v>-0.2986004222725698</v>
      </c>
      <c r="K20" s="11">
        <f t="shared" si="6"/>
        <v>0.7272928742266122</v>
      </c>
      <c r="L20" s="11">
        <f t="shared" si="7"/>
        <v>4.168710691589405</v>
      </c>
      <c r="M20" s="11">
        <f t="shared" si="8"/>
        <v>4.8960035658160175</v>
      </c>
      <c r="N20" s="11">
        <f t="shared" si="9"/>
        <v>4.901960784313726</v>
      </c>
      <c r="O20" s="12">
        <f t="shared" si="10"/>
        <v>2.3119755853433657</v>
      </c>
    </row>
    <row r="21" spans="1:15" ht="15.75">
      <c r="A21" s="159">
        <v>80</v>
      </c>
      <c r="B21" s="160">
        <f t="shared" si="0"/>
        <v>50</v>
      </c>
      <c r="C21" s="163">
        <f>C19</f>
        <v>0.03</v>
      </c>
      <c r="D21" s="163">
        <v>0.05878</v>
      </c>
      <c r="E21" s="163">
        <f t="shared" si="1"/>
        <v>0.02878</v>
      </c>
      <c r="F21" s="163">
        <v>0.1</v>
      </c>
      <c r="G21" s="163">
        <f t="shared" si="2"/>
        <v>1.1289572274042068</v>
      </c>
      <c r="H21" s="163">
        <f t="shared" si="3"/>
        <v>0.24563467468271444</v>
      </c>
      <c r="I21" s="163">
        <f t="shared" si="4"/>
        <v>0.007755999999999999</v>
      </c>
      <c r="J21" s="163">
        <f t="shared" si="5"/>
        <v>-0.3762618638810713</v>
      </c>
      <c r="K21" s="163">
        <f t="shared" si="6"/>
        <v>0.6669825340810491</v>
      </c>
      <c r="L21" s="163">
        <f t="shared" si="7"/>
        <v>4.437365929740501</v>
      </c>
      <c r="M21" s="163">
        <f t="shared" si="8"/>
        <v>5.10434846382155</v>
      </c>
      <c r="N21" s="163">
        <f t="shared" si="9"/>
        <v>5.103776794828173</v>
      </c>
      <c r="O21" s="164">
        <f t="shared" si="10"/>
        <v>2.8873578254742984</v>
      </c>
    </row>
    <row r="22" spans="1:15" ht="15">
      <c r="A22" s="9">
        <v>60</v>
      </c>
      <c r="B22" s="10">
        <f t="shared" si="0"/>
        <v>30</v>
      </c>
      <c r="C22" s="11">
        <v>0.04</v>
      </c>
      <c r="D22" s="11">
        <v>0.07441</v>
      </c>
      <c r="E22" s="11">
        <f t="shared" si="1"/>
        <v>0.03441</v>
      </c>
      <c r="F22" s="11">
        <v>0.1</v>
      </c>
      <c r="G22" s="11">
        <f t="shared" si="2"/>
        <v>0.7661529441329867</v>
      </c>
      <c r="H22" s="11">
        <f t="shared" si="3"/>
        <v>0.20934220098909925</v>
      </c>
      <c r="I22" s="11">
        <f t="shared" si="4"/>
        <v>0.010882</v>
      </c>
      <c r="J22" s="11">
        <f t="shared" si="5"/>
        <v>-0.34827407064566285</v>
      </c>
      <c r="K22" s="11">
        <f t="shared" si="6"/>
        <v>0.2341963731210063</v>
      </c>
      <c r="L22" s="11">
        <f t="shared" si="7"/>
        <v>3.7985904735304223</v>
      </c>
      <c r="M22" s="11">
        <f t="shared" si="8"/>
        <v>4.032786846651429</v>
      </c>
      <c r="N22" s="11">
        <f t="shared" si="9"/>
        <v>4.0317161671818305</v>
      </c>
      <c r="O22" s="12">
        <f t="shared" si="10"/>
        <v>2.0764023386251993</v>
      </c>
    </row>
    <row r="23" spans="1:15" ht="15">
      <c r="A23" s="9">
        <v>70</v>
      </c>
      <c r="B23" s="10">
        <f t="shared" si="0"/>
        <v>40</v>
      </c>
      <c r="C23" s="11">
        <f>C22</f>
        <v>0.04</v>
      </c>
      <c r="D23" s="11">
        <v>0.0718</v>
      </c>
      <c r="E23" s="11">
        <f t="shared" si="1"/>
        <v>0.0318</v>
      </c>
      <c r="F23" s="11">
        <v>0.1</v>
      </c>
      <c r="G23" s="11">
        <f t="shared" si="2"/>
        <v>0.9457314202881096</v>
      </c>
      <c r="H23" s="11">
        <f t="shared" si="3"/>
        <v>0.23212433789521375</v>
      </c>
      <c r="I23" s="11">
        <f t="shared" si="4"/>
        <v>0.01036</v>
      </c>
      <c r="J23" s="11">
        <f t="shared" si="5"/>
        <v>-0.45151457485760393</v>
      </c>
      <c r="K23" s="11">
        <f t="shared" si="6"/>
        <v>0.053682666694465295</v>
      </c>
      <c r="L23" s="11">
        <f t="shared" si="7"/>
        <v>4.125296429810683</v>
      </c>
      <c r="M23" s="11">
        <f t="shared" si="8"/>
        <v>4.178979096505148</v>
      </c>
      <c r="N23" s="11">
        <f t="shared" si="9"/>
        <v>4.178272980501393</v>
      </c>
      <c r="O23" s="12">
        <f t="shared" si="10"/>
        <v>2.7772852236726644</v>
      </c>
    </row>
    <row r="24" spans="1:15" ht="15.75">
      <c r="A24" s="13">
        <v>80</v>
      </c>
      <c r="B24" s="14">
        <f t="shared" si="0"/>
        <v>50</v>
      </c>
      <c r="C24" s="15">
        <f>C22</f>
        <v>0.04</v>
      </c>
      <c r="D24" s="15">
        <v>0.06958</v>
      </c>
      <c r="E24" s="15">
        <f t="shared" si="1"/>
        <v>0.029580000000000002</v>
      </c>
      <c r="F24" s="15">
        <v>0.1</v>
      </c>
      <c r="G24" s="15">
        <f t="shared" si="2"/>
        <v>1.13651210890038</v>
      </c>
      <c r="H24" s="15">
        <f t="shared" si="3"/>
        <v>0.25521176257397976</v>
      </c>
      <c r="I24" s="15">
        <f t="shared" si="4"/>
        <v>0.009916</v>
      </c>
      <c r="J24" s="15">
        <f t="shared" si="5"/>
        <v>-0.5508416730978778</v>
      </c>
      <c r="K24" s="15">
        <f t="shared" si="6"/>
        <v>-0.14427233837997996</v>
      </c>
      <c r="L24" s="15">
        <f t="shared" si="7"/>
        <v>4.457265858641859</v>
      </c>
      <c r="M24" s="15">
        <f t="shared" si="8"/>
        <v>4.312993520261879</v>
      </c>
      <c r="N24" s="15">
        <f t="shared" si="9"/>
        <v>4.311583788444955</v>
      </c>
      <c r="O24" s="16">
        <f t="shared" si="10"/>
        <v>3.550366046807559</v>
      </c>
    </row>
    <row r="25" spans="1:15" ht="15">
      <c r="A25" s="152">
        <v>60</v>
      </c>
      <c r="B25" s="153">
        <f t="shared" si="0"/>
        <v>30</v>
      </c>
      <c r="C25" s="168">
        <v>0.05</v>
      </c>
      <c r="D25" s="168">
        <v>0.08497</v>
      </c>
      <c r="E25" s="168">
        <f t="shared" si="1"/>
        <v>0.03497</v>
      </c>
      <c r="F25" s="168">
        <v>0.1</v>
      </c>
      <c r="G25" s="168">
        <f t="shared" si="2"/>
        <v>0.7637897178493444</v>
      </c>
      <c r="H25" s="168">
        <f t="shared" si="3"/>
        <v>0.21364505333548078</v>
      </c>
      <c r="I25" s="168">
        <f t="shared" si="4"/>
        <v>0.012994</v>
      </c>
      <c r="J25" s="168">
        <f t="shared" si="5"/>
        <v>-0.4781076091273442</v>
      </c>
      <c r="K25" s="168">
        <f t="shared" si="6"/>
        <v>-0.21273592276444672</v>
      </c>
      <c r="L25" s="168">
        <f t="shared" si="7"/>
        <v>3.7409855644257055</v>
      </c>
      <c r="M25" s="168">
        <f t="shared" si="8"/>
        <v>3.528249641661259</v>
      </c>
      <c r="N25" s="168">
        <f t="shared" si="9"/>
        <v>3.5306578792515</v>
      </c>
      <c r="O25" s="170">
        <f t="shared" si="10"/>
        <v>2.4221081276424314</v>
      </c>
    </row>
    <row r="26" spans="1:15" ht="15">
      <c r="A26" s="9">
        <v>70</v>
      </c>
      <c r="B26" s="10">
        <f t="shared" si="0"/>
        <v>40</v>
      </c>
      <c r="C26" s="11">
        <f>C25</f>
        <v>0.05</v>
      </c>
      <c r="D26" s="11">
        <v>0.08265</v>
      </c>
      <c r="E26" s="11">
        <f t="shared" si="1"/>
        <v>0.03265</v>
      </c>
      <c r="F26" s="11">
        <v>0.1</v>
      </c>
      <c r="G26" s="11">
        <f t="shared" si="2"/>
        <v>0.9468896041277418</v>
      </c>
      <c r="H26" s="11">
        <f t="shared" si="3"/>
        <v>0.24059005691042482</v>
      </c>
      <c r="I26" s="11">
        <f t="shared" si="4"/>
        <v>0.01253</v>
      </c>
      <c r="J26" s="11">
        <f t="shared" si="5"/>
        <v>-0.6032277981813965</v>
      </c>
      <c r="K26" s="11">
        <f t="shared" si="6"/>
        <v>-0.5042785511614211</v>
      </c>
      <c r="L26" s="11">
        <f t="shared" si="7"/>
        <v>4.135822208522344</v>
      </c>
      <c r="M26" s="11">
        <f t="shared" si="8"/>
        <v>3.631543657360923</v>
      </c>
      <c r="N26" s="11">
        <f t="shared" si="9"/>
        <v>3.629764065335753</v>
      </c>
      <c r="O26" s="12">
        <f t="shared" si="10"/>
        <v>3.312503987426436</v>
      </c>
    </row>
    <row r="27" spans="1:15" ht="16.5" thickBot="1">
      <c r="A27" s="17">
        <v>80</v>
      </c>
      <c r="B27" s="18">
        <f t="shared" si="0"/>
        <v>50</v>
      </c>
      <c r="C27" s="19">
        <f>C25</f>
        <v>0.05</v>
      </c>
      <c r="D27" s="19">
        <v>0.08052</v>
      </c>
      <c r="E27" s="19">
        <f t="shared" si="1"/>
        <v>0.03051999999999999</v>
      </c>
      <c r="F27" s="19">
        <v>0.1</v>
      </c>
      <c r="G27" s="19">
        <f t="shared" si="2"/>
        <v>1.1456953791894566</v>
      </c>
      <c r="H27" s="19">
        <f t="shared" si="3"/>
        <v>0.2670828599800433</v>
      </c>
      <c r="I27" s="19">
        <f t="shared" si="4"/>
        <v>0.012103999999999998</v>
      </c>
      <c r="J27" s="19">
        <f t="shared" si="5"/>
        <v>-0.7226700072125298</v>
      </c>
      <c r="K27" s="19">
        <f t="shared" si="6"/>
        <v>-0.7826170552679187</v>
      </c>
      <c r="L27" s="19">
        <f t="shared" si="7"/>
        <v>4.515314939950446</v>
      </c>
      <c r="M27" s="19">
        <f t="shared" si="8"/>
        <v>3.7326978846825276</v>
      </c>
      <c r="N27" s="19">
        <f t="shared" si="9"/>
        <v>3.7257824143070044</v>
      </c>
      <c r="O27" s="20">
        <f t="shared" si="10"/>
        <v>4.293133838814697</v>
      </c>
    </row>
    <row r="28" ht="13.5" thickTop="1"/>
  </sheetData>
  <mergeCells count="1">
    <mergeCell ref="A3:O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legacyDrawing r:id="rId2"/>
  <oleObjects>
    <oleObject progId="Equation.3" shapeId="4672799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pane xSplit="1" ySplit="9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O27"/>
    </sheetView>
  </sheetViews>
  <sheetFormatPr defaultColWidth="11.421875" defaultRowHeight="12.75"/>
  <cols>
    <col min="1" max="15" width="8.7109375" style="0" customWidth="1"/>
  </cols>
  <sheetData>
    <row r="1" ht="12.75">
      <c r="A1" s="1"/>
    </row>
    <row r="2" ht="13.5" thickBot="1"/>
    <row r="3" spans="1:15" ht="60" customHeight="1" thickTop="1">
      <c r="A3" s="98" t="s">
        <v>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91"/>
      <c r="O3" s="99"/>
    </row>
    <row r="4" spans="1:15" ht="19.5" customHeight="1">
      <c r="A4" s="73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4"/>
      <c r="N4" s="4"/>
      <c r="O4" s="5"/>
    </row>
    <row r="5" spans="1:15" ht="15">
      <c r="A5" s="6" t="s">
        <v>15</v>
      </c>
      <c r="B5" s="7" t="s">
        <v>16</v>
      </c>
      <c r="C5" s="23"/>
      <c r="D5" s="23"/>
      <c r="E5" s="7"/>
      <c r="F5" s="4"/>
      <c r="G5" s="4"/>
      <c r="H5" s="3"/>
      <c r="I5" s="3"/>
      <c r="J5" s="3"/>
      <c r="K5" s="3"/>
      <c r="L5" s="3"/>
      <c r="M5" s="4"/>
      <c r="N5" s="4"/>
      <c r="O5" s="5"/>
    </row>
    <row r="6" spans="1:15" ht="15">
      <c r="A6" s="6">
        <v>20</v>
      </c>
      <c r="B6" s="7">
        <v>30</v>
      </c>
      <c r="C6" s="11"/>
      <c r="D6" s="7"/>
      <c r="E6" s="24"/>
      <c r="F6" s="4"/>
      <c r="G6" s="4"/>
      <c r="H6" s="7"/>
      <c r="I6" s="7"/>
      <c r="J6" s="7"/>
      <c r="K6" s="7"/>
      <c r="L6" s="7"/>
      <c r="M6" s="4"/>
      <c r="N6" s="4"/>
      <c r="O6" s="5"/>
    </row>
    <row r="7" spans="1:15" ht="15">
      <c r="A7" s="6" t="s">
        <v>33</v>
      </c>
      <c r="B7" s="23" t="s">
        <v>18</v>
      </c>
      <c r="C7" s="23" t="s">
        <v>28</v>
      </c>
      <c r="D7" s="23" t="s">
        <v>29</v>
      </c>
      <c r="E7" s="23"/>
      <c r="F7" s="23"/>
      <c r="G7" s="4"/>
      <c r="H7" s="4"/>
      <c r="I7" s="23"/>
      <c r="J7" s="23"/>
      <c r="K7" s="23"/>
      <c r="L7" s="23"/>
      <c r="M7" s="4"/>
      <c r="N7" s="4"/>
      <c r="O7" s="5"/>
    </row>
    <row r="8" spans="1:15" ht="15">
      <c r="A8" s="6">
        <v>60</v>
      </c>
      <c r="B8" s="11">
        <v>0.3</v>
      </c>
      <c r="C8" s="11">
        <f>1-B8</f>
        <v>0.7</v>
      </c>
      <c r="D8" s="11">
        <v>1</v>
      </c>
      <c r="E8" s="4"/>
      <c r="F8" s="11"/>
      <c r="G8" s="4"/>
      <c r="H8" s="4"/>
      <c r="I8" s="11"/>
      <c r="J8" s="11"/>
      <c r="K8" s="11"/>
      <c r="L8" s="11"/>
      <c r="M8" s="4"/>
      <c r="N8" s="4"/>
      <c r="O8" s="5"/>
    </row>
    <row r="9" spans="1:15" ht="19.5">
      <c r="A9" s="6" t="s">
        <v>20</v>
      </c>
      <c r="B9" s="7" t="s">
        <v>21</v>
      </c>
      <c r="C9" s="7" t="s">
        <v>22</v>
      </c>
      <c r="D9" s="7" t="s">
        <v>19</v>
      </c>
      <c r="E9" s="7" t="s">
        <v>49</v>
      </c>
      <c r="F9" s="23" t="s">
        <v>52</v>
      </c>
      <c r="G9" s="7" t="s">
        <v>26</v>
      </c>
      <c r="H9" s="7" t="s">
        <v>36</v>
      </c>
      <c r="I9" s="7" t="s">
        <v>53</v>
      </c>
      <c r="J9" s="7" t="s">
        <v>54</v>
      </c>
      <c r="K9" s="23" t="s">
        <v>4</v>
      </c>
      <c r="L9" s="23" t="s">
        <v>11</v>
      </c>
      <c r="M9" s="23" t="s">
        <v>17</v>
      </c>
      <c r="N9" s="23" t="s">
        <v>13</v>
      </c>
      <c r="O9" s="88" t="s">
        <v>24</v>
      </c>
    </row>
    <row r="10" spans="1:15" ht="15">
      <c r="A10" s="144">
        <v>60</v>
      </c>
      <c r="B10" s="145">
        <f aca="true" t="shared" si="0" ref="B10:B27">A10-B$6</f>
        <v>30</v>
      </c>
      <c r="C10" s="166">
        <v>0</v>
      </c>
      <c r="D10" s="166">
        <v>0.038485</v>
      </c>
      <c r="E10" s="166">
        <f aca="true" t="shared" si="1" ref="E10:E27">D10-C10</f>
        <v>0.038485</v>
      </c>
      <c r="F10" s="166">
        <v>0.1</v>
      </c>
      <c r="G10" s="166">
        <f aca="true" t="shared" si="2" ref="G10:G27">(EXP($E10*($B10-$A$6))-EXP(-$E10*($A$8-$B10))+D$8*(EXP(-$E10*($A$8-$B10))-EXP(-$E10*$B$6)))/($E10*($A10-$A$6))</f>
        <v>0.7497690990813834</v>
      </c>
      <c r="H10" s="166">
        <f aca="true" t="shared" si="3" ref="H10:H27">F10*EXP($E10*$B$6)*G10*$C$8/(1-F10*EXP($E10*$B$6))</f>
        <v>0.24388474327843912</v>
      </c>
      <c r="I10" s="166">
        <f>C10-0.00001</f>
        <v>-1E-05</v>
      </c>
      <c r="J10" s="166">
        <f aca="true" t="shared" si="4" ref="J10:J27">1-(1-F10)*((D10-I10)*(1-EXP(-E10*(A10-A$6))))/(E10*(1-EXP(-(D10-I10)*(A10-A$6))))</f>
        <v>0.09986445030770585</v>
      </c>
      <c r="K10" s="166">
        <f aca="true" t="shared" si="5" ref="K10:K27">(C$8/(A10-A$6))*((EXP(E10*(A10-A$6))-1-E10*(A10-A$6))/(E10^2)-(1-J10)*((EXP(E10*(A10-A$6))-1)/E10-(1-EXP(-(C10-I10)*(A10-A$6)))/(C10-I10))/(D10-I10))</f>
        <v>2.5069212350499073</v>
      </c>
      <c r="L10" s="166">
        <f aca="true" t="shared" si="6" ref="L10:L27">H10*(((EXP(E10*B$6)-1)/E10)-((1-F10)/(1-EXP(-(D10-I10)*B$6))*(((EXP(E10*B$6)-1)/E10)-(1-EXP(-(C10-I10)*B$6))/(C10-I10))))</f>
        <v>5.288881773517207</v>
      </c>
      <c r="M10" s="166">
        <f aca="true" t="shared" si="7" ref="M10:M27">K10+L10</f>
        <v>7.795803008567114</v>
      </c>
      <c r="N10" s="166">
        <f aca="true" t="shared" si="8" ref="N10:N27">B$8/D10</f>
        <v>7.795244900610627</v>
      </c>
      <c r="O10" s="150">
        <f aca="true" t="shared" si="9" ref="O10:O27">H10/(M10/(A10-A$6))</f>
        <v>1.2513643200600353</v>
      </c>
    </row>
    <row r="11" spans="1:15" ht="15">
      <c r="A11" s="9">
        <v>70</v>
      </c>
      <c r="B11" s="10">
        <f t="shared" si="0"/>
        <v>40</v>
      </c>
      <c r="C11" s="11">
        <f>C10</f>
        <v>0</v>
      </c>
      <c r="D11" s="11">
        <v>0.0342</v>
      </c>
      <c r="E11" s="11">
        <f t="shared" si="1"/>
        <v>0.0342</v>
      </c>
      <c r="F11" s="11">
        <v>0.1</v>
      </c>
      <c r="G11" s="11">
        <f t="shared" si="2"/>
        <v>0.9493281912152053</v>
      </c>
      <c r="H11" s="11">
        <f t="shared" si="3"/>
        <v>0.25713328689118997</v>
      </c>
      <c r="I11" s="11">
        <f aca="true" t="shared" si="10" ref="I11:I27">C11-0.00001</f>
        <v>-1E-05</v>
      </c>
      <c r="J11" s="11">
        <f t="shared" si="4"/>
        <v>0.09983619587600312</v>
      </c>
      <c r="K11" s="11">
        <f t="shared" si="5"/>
        <v>3.3729018816342764</v>
      </c>
      <c r="L11" s="11">
        <f t="shared" si="6"/>
        <v>5.400186065731654</v>
      </c>
      <c r="M11" s="11">
        <f t="shared" si="7"/>
        <v>8.77308794736593</v>
      </c>
      <c r="N11" s="11">
        <f t="shared" si="8"/>
        <v>8.771929824561402</v>
      </c>
      <c r="O11" s="12">
        <f t="shared" si="9"/>
        <v>1.4654662556323328</v>
      </c>
    </row>
    <row r="12" spans="1:15" ht="15.75">
      <c r="A12" s="13">
        <v>80</v>
      </c>
      <c r="B12" s="14">
        <f t="shared" si="0"/>
        <v>50</v>
      </c>
      <c r="C12" s="15">
        <f>C10</f>
        <v>0</v>
      </c>
      <c r="D12" s="15">
        <v>0.030655</v>
      </c>
      <c r="E12" s="15">
        <f t="shared" si="1"/>
        <v>0.030655</v>
      </c>
      <c r="F12" s="15">
        <v>0.1</v>
      </c>
      <c r="G12" s="15">
        <f t="shared" si="2"/>
        <v>1.1470416706436655</v>
      </c>
      <c r="H12" s="15">
        <f t="shared" si="3"/>
        <v>0.26884520034098885</v>
      </c>
      <c r="I12" s="15">
        <f t="shared" si="10"/>
        <v>-1E-05</v>
      </c>
      <c r="J12" s="15">
        <f t="shared" si="4"/>
        <v>0.09980843942055795</v>
      </c>
      <c r="K12" s="15">
        <f t="shared" si="5"/>
        <v>4.284874565448108</v>
      </c>
      <c r="L12" s="15">
        <f t="shared" si="6"/>
        <v>5.5006292273656525</v>
      </c>
      <c r="M12" s="15">
        <f t="shared" si="7"/>
        <v>9.78550379281376</v>
      </c>
      <c r="N12" s="15">
        <f t="shared" si="8"/>
        <v>9.786331756646549</v>
      </c>
      <c r="O12" s="16">
        <f t="shared" si="9"/>
        <v>1.64842938718243</v>
      </c>
    </row>
    <row r="13" spans="1:15" ht="15">
      <c r="A13" s="152">
        <v>60</v>
      </c>
      <c r="B13" s="153">
        <f t="shared" si="0"/>
        <v>30</v>
      </c>
      <c r="C13" s="168">
        <v>0.01</v>
      </c>
      <c r="D13" s="168">
        <v>0.04445</v>
      </c>
      <c r="E13" s="168">
        <f t="shared" si="1"/>
        <v>0.03445</v>
      </c>
      <c r="F13" s="168">
        <v>0.1</v>
      </c>
      <c r="G13" s="168">
        <f t="shared" si="2"/>
        <v>0.7659829324029355</v>
      </c>
      <c r="H13" s="168">
        <f t="shared" si="3"/>
        <v>0.20964531148380872</v>
      </c>
      <c r="I13" s="168">
        <f t="shared" si="10"/>
        <v>0.00999</v>
      </c>
      <c r="J13" s="168">
        <f t="shared" si="4"/>
        <v>0.09986008273657176</v>
      </c>
      <c r="K13" s="168">
        <f t="shared" si="5"/>
        <v>2.342186593037594</v>
      </c>
      <c r="L13" s="168">
        <f t="shared" si="6"/>
        <v>4.411043276710086</v>
      </c>
      <c r="M13" s="168">
        <f t="shared" si="7"/>
        <v>6.75322986974768</v>
      </c>
      <c r="N13" s="168">
        <f t="shared" si="8"/>
        <v>6.749156355455567</v>
      </c>
      <c r="O13" s="170">
        <f t="shared" si="9"/>
        <v>1.2417484109223231</v>
      </c>
    </row>
    <row r="14" spans="1:15" ht="15">
      <c r="A14" s="9">
        <v>70</v>
      </c>
      <c r="B14" s="10">
        <f t="shared" si="0"/>
        <v>40</v>
      </c>
      <c r="C14" s="11">
        <f>C13</f>
        <v>0.01</v>
      </c>
      <c r="D14" s="11">
        <v>0.04006</v>
      </c>
      <c r="E14" s="11">
        <f t="shared" si="1"/>
        <v>0.030059999999999996</v>
      </c>
      <c r="F14" s="11">
        <v>0.1</v>
      </c>
      <c r="G14" s="11">
        <f t="shared" si="2"/>
        <v>0.9437579260149932</v>
      </c>
      <c r="H14" s="11">
        <f t="shared" si="3"/>
        <v>0.21600634458807694</v>
      </c>
      <c r="I14" s="11">
        <f t="shared" si="10"/>
        <v>0.00999</v>
      </c>
      <c r="J14" s="11">
        <f t="shared" si="4"/>
        <v>0.0998293407076678</v>
      </c>
      <c r="K14" s="11">
        <f t="shared" si="5"/>
        <v>3.0852826501219264</v>
      </c>
      <c r="L14" s="11">
        <f t="shared" si="6"/>
        <v>4.400358790492445</v>
      </c>
      <c r="M14" s="11">
        <f t="shared" si="7"/>
        <v>7.485641440614371</v>
      </c>
      <c r="N14" s="11">
        <f t="shared" si="8"/>
        <v>7.488766849725412</v>
      </c>
      <c r="O14" s="12">
        <f t="shared" si="9"/>
        <v>1.4428045098186575</v>
      </c>
    </row>
    <row r="15" spans="1:15" ht="15.75">
      <c r="A15" s="159">
        <v>80</v>
      </c>
      <c r="B15" s="160">
        <f t="shared" si="0"/>
        <v>50</v>
      </c>
      <c r="C15" s="163">
        <f>C13</f>
        <v>0.01</v>
      </c>
      <c r="D15" s="163">
        <v>0.0365</v>
      </c>
      <c r="E15" s="163">
        <f t="shared" si="1"/>
        <v>0.026499999999999996</v>
      </c>
      <c r="F15" s="163">
        <v>0.1</v>
      </c>
      <c r="G15" s="163">
        <f t="shared" si="2"/>
        <v>1.108716831372001</v>
      </c>
      <c r="H15" s="163">
        <f t="shared" si="3"/>
        <v>0.22074607654509074</v>
      </c>
      <c r="I15" s="163">
        <f t="shared" si="10"/>
        <v>0.00999</v>
      </c>
      <c r="J15" s="163">
        <f t="shared" si="4"/>
        <v>0.09979869536737385</v>
      </c>
      <c r="K15" s="163">
        <f t="shared" si="5"/>
        <v>3.8420780806876627</v>
      </c>
      <c r="L15" s="163">
        <f t="shared" si="6"/>
        <v>4.3822543733614365</v>
      </c>
      <c r="M15" s="163">
        <f t="shared" si="7"/>
        <v>8.2243324540491</v>
      </c>
      <c r="N15" s="163">
        <f t="shared" si="8"/>
        <v>8.219178082191782</v>
      </c>
      <c r="O15" s="164">
        <f t="shared" si="9"/>
        <v>1.6104364295468903</v>
      </c>
    </row>
    <row r="16" spans="1:15" ht="15">
      <c r="A16" s="9">
        <v>60</v>
      </c>
      <c r="B16" s="10">
        <f t="shared" si="0"/>
        <v>30</v>
      </c>
      <c r="C16" s="11">
        <v>0.02001</v>
      </c>
      <c r="D16" s="11">
        <v>0.05055</v>
      </c>
      <c r="E16" s="11">
        <f t="shared" si="1"/>
        <v>0.030539999999999998</v>
      </c>
      <c r="F16" s="11">
        <v>0.1</v>
      </c>
      <c r="G16" s="11">
        <f t="shared" si="2"/>
        <v>0.7835064400423482</v>
      </c>
      <c r="H16" s="11">
        <f t="shared" si="3"/>
        <v>0.18279605443515679</v>
      </c>
      <c r="I16" s="11">
        <f t="shared" si="10"/>
        <v>0.02</v>
      </c>
      <c r="J16" s="11">
        <f t="shared" si="4"/>
        <v>0.0998557617418887</v>
      </c>
      <c r="K16" s="11">
        <f t="shared" si="5"/>
        <v>2.196337602611193</v>
      </c>
      <c r="L16" s="11">
        <f t="shared" si="6"/>
        <v>3.736900863194789</v>
      </c>
      <c r="M16" s="11">
        <f t="shared" si="7"/>
        <v>5.933238465805982</v>
      </c>
      <c r="N16" s="11">
        <f t="shared" si="8"/>
        <v>5.9347181008902075</v>
      </c>
      <c r="O16" s="12">
        <f t="shared" si="9"/>
        <v>1.2323526552228368</v>
      </c>
    </row>
    <row r="17" spans="1:15" ht="15">
      <c r="A17" s="9">
        <v>70</v>
      </c>
      <c r="B17" s="10">
        <f t="shared" si="0"/>
        <v>40</v>
      </c>
      <c r="C17" s="11">
        <f>C16</f>
        <v>0.02001</v>
      </c>
      <c r="D17" s="11">
        <v>0.04615</v>
      </c>
      <c r="E17" s="11">
        <f t="shared" si="1"/>
        <v>0.026139999999999997</v>
      </c>
      <c r="F17" s="11">
        <v>0.1</v>
      </c>
      <c r="G17" s="11">
        <f t="shared" si="2"/>
        <v>0.9412847614999361</v>
      </c>
      <c r="H17" s="11">
        <f t="shared" si="3"/>
        <v>0.18483240727188932</v>
      </c>
      <c r="I17" s="11">
        <f t="shared" si="10"/>
        <v>0.02</v>
      </c>
      <c r="J17" s="11">
        <f t="shared" si="4"/>
        <v>0.09982266266227202</v>
      </c>
      <c r="K17" s="11">
        <f t="shared" si="5"/>
        <v>2.8427183868781802</v>
      </c>
      <c r="L17" s="11">
        <f t="shared" si="6"/>
        <v>3.6597875621029514</v>
      </c>
      <c r="M17" s="11">
        <f t="shared" si="7"/>
        <v>6.502505948981131</v>
      </c>
      <c r="N17" s="11">
        <f t="shared" si="8"/>
        <v>6.500541711809317</v>
      </c>
      <c r="O17" s="12">
        <f t="shared" si="9"/>
        <v>1.4212398167882527</v>
      </c>
    </row>
    <row r="18" spans="1:15" ht="15.75">
      <c r="A18" s="13">
        <v>80</v>
      </c>
      <c r="B18" s="14">
        <f t="shared" si="0"/>
        <v>50</v>
      </c>
      <c r="C18" s="15">
        <f>C16</f>
        <v>0.02001</v>
      </c>
      <c r="D18" s="15">
        <v>0.04258</v>
      </c>
      <c r="E18" s="15">
        <f t="shared" si="1"/>
        <v>0.02257</v>
      </c>
      <c r="F18" s="15">
        <v>0.1</v>
      </c>
      <c r="G18" s="15">
        <f t="shared" si="2"/>
        <v>1.0781815573153617</v>
      </c>
      <c r="H18" s="15">
        <f t="shared" si="3"/>
        <v>0.18494209811351178</v>
      </c>
      <c r="I18" s="15">
        <f t="shared" si="10"/>
        <v>0.02</v>
      </c>
      <c r="J18" s="15">
        <f t="shared" si="4"/>
        <v>0.09978914185404775</v>
      </c>
      <c r="K18" s="15">
        <f t="shared" si="5"/>
        <v>3.47811676810597</v>
      </c>
      <c r="L18" s="15">
        <f t="shared" si="6"/>
        <v>3.5694996354383353</v>
      </c>
      <c r="M18" s="15">
        <f t="shared" si="7"/>
        <v>7.047616403544305</v>
      </c>
      <c r="N18" s="15">
        <f t="shared" si="8"/>
        <v>7.045561296383278</v>
      </c>
      <c r="O18" s="16">
        <f t="shared" si="9"/>
        <v>1.5745076422193143</v>
      </c>
    </row>
    <row r="19" spans="1:15" ht="15">
      <c r="A19" s="152">
        <v>60</v>
      </c>
      <c r="B19" s="153">
        <f t="shared" si="0"/>
        <v>30</v>
      </c>
      <c r="C19" s="168">
        <v>0.03</v>
      </c>
      <c r="D19" s="168">
        <v>0.0568</v>
      </c>
      <c r="E19" s="168">
        <f t="shared" si="1"/>
        <v>0.026800000000000004</v>
      </c>
      <c r="F19" s="168">
        <v>0.1</v>
      </c>
      <c r="G19" s="168">
        <f t="shared" si="2"/>
        <v>0.8020633413344438</v>
      </c>
      <c r="H19" s="168">
        <f t="shared" si="3"/>
        <v>0.16155033429025467</v>
      </c>
      <c r="I19" s="168">
        <f t="shared" si="10"/>
        <v>0.02999</v>
      </c>
      <c r="J19" s="168">
        <f t="shared" si="4"/>
        <v>0.0998515538497653</v>
      </c>
      <c r="K19" s="168">
        <f t="shared" si="5"/>
        <v>2.068300438462497</v>
      </c>
      <c r="L19" s="168">
        <f t="shared" si="6"/>
        <v>3.2140489611456386</v>
      </c>
      <c r="M19" s="168">
        <f t="shared" si="7"/>
        <v>5.282349399608135</v>
      </c>
      <c r="N19" s="168">
        <f t="shared" si="8"/>
        <v>5.28169014084507</v>
      </c>
      <c r="O19" s="170">
        <f t="shared" si="9"/>
        <v>1.223321837076806</v>
      </c>
    </row>
    <row r="20" spans="1:15" ht="15">
      <c r="A20" s="9">
        <v>70</v>
      </c>
      <c r="B20" s="10">
        <f t="shared" si="0"/>
        <v>40</v>
      </c>
      <c r="C20" s="11">
        <f>C19</f>
        <v>0.03</v>
      </c>
      <c r="D20" s="11">
        <v>0.05239</v>
      </c>
      <c r="E20" s="11">
        <f t="shared" si="1"/>
        <v>0.02239</v>
      </c>
      <c r="F20" s="11">
        <v>0.1</v>
      </c>
      <c r="G20" s="11">
        <f t="shared" si="2"/>
        <v>0.9415152112653005</v>
      </c>
      <c r="H20" s="11">
        <f t="shared" si="3"/>
        <v>0.16041806805960895</v>
      </c>
      <c r="I20" s="11">
        <f t="shared" si="10"/>
        <v>0.02999</v>
      </c>
      <c r="J20" s="11">
        <f t="shared" si="4"/>
        <v>0.09981611975109694</v>
      </c>
      <c r="K20" s="11">
        <f t="shared" si="5"/>
        <v>2.634499387436241</v>
      </c>
      <c r="L20" s="11">
        <f t="shared" si="6"/>
        <v>3.092202996834561</v>
      </c>
      <c r="M20" s="11">
        <f t="shared" si="7"/>
        <v>5.726702384270801</v>
      </c>
      <c r="N20" s="11">
        <f t="shared" si="8"/>
        <v>5.726283641916396</v>
      </c>
      <c r="O20" s="12">
        <f t="shared" si="9"/>
        <v>1.4006146757357243</v>
      </c>
    </row>
    <row r="21" spans="1:15" ht="15.75">
      <c r="A21" s="159">
        <v>80</v>
      </c>
      <c r="B21" s="160">
        <f t="shared" si="0"/>
        <v>50</v>
      </c>
      <c r="C21" s="163">
        <f>C19</f>
        <v>0.03</v>
      </c>
      <c r="D21" s="163">
        <v>0.04885</v>
      </c>
      <c r="E21" s="163">
        <f t="shared" si="1"/>
        <v>0.01885</v>
      </c>
      <c r="F21" s="163">
        <v>0.1</v>
      </c>
      <c r="G21" s="163">
        <f t="shared" si="2"/>
        <v>1.0541571077484242</v>
      </c>
      <c r="H21" s="163">
        <f t="shared" si="3"/>
        <v>0.1576474580972893</v>
      </c>
      <c r="I21" s="163">
        <f t="shared" si="10"/>
        <v>0.02999</v>
      </c>
      <c r="J21" s="163">
        <f t="shared" si="4"/>
        <v>0.09977982772602711</v>
      </c>
      <c r="K21" s="163">
        <f t="shared" si="5"/>
        <v>3.175673798678921</v>
      </c>
      <c r="L21" s="163">
        <f t="shared" si="6"/>
        <v>2.96350964252507</v>
      </c>
      <c r="M21" s="163">
        <f t="shared" si="7"/>
        <v>6.139183441203992</v>
      </c>
      <c r="N21" s="163">
        <f t="shared" si="8"/>
        <v>6.141248720573183</v>
      </c>
      <c r="O21" s="164">
        <f t="shared" si="9"/>
        <v>1.5407338087265767</v>
      </c>
    </row>
    <row r="22" spans="1:15" ht="15">
      <c r="A22" s="9">
        <v>60</v>
      </c>
      <c r="B22" s="10">
        <f t="shared" si="0"/>
        <v>30</v>
      </c>
      <c r="C22" s="11">
        <v>0.04</v>
      </c>
      <c r="D22" s="11">
        <v>0.0632</v>
      </c>
      <c r="E22" s="11">
        <f t="shared" si="1"/>
        <v>0.023200000000000005</v>
      </c>
      <c r="F22" s="11">
        <v>0.1</v>
      </c>
      <c r="G22" s="11">
        <f t="shared" si="2"/>
        <v>0.8217070106003374</v>
      </c>
      <c r="H22" s="11">
        <f t="shared" si="3"/>
        <v>0.1443126157850632</v>
      </c>
      <c r="I22" s="11">
        <f t="shared" si="10"/>
        <v>0.03999</v>
      </c>
      <c r="J22" s="11">
        <f t="shared" si="4"/>
        <v>0.09984744125282341</v>
      </c>
      <c r="K22" s="11">
        <f t="shared" si="5"/>
        <v>1.9546733648743941</v>
      </c>
      <c r="L22" s="11">
        <f t="shared" si="6"/>
        <v>2.797867273962561</v>
      </c>
      <c r="M22" s="11">
        <f t="shared" si="7"/>
        <v>4.7525406388369555</v>
      </c>
      <c r="N22" s="11">
        <f t="shared" si="8"/>
        <v>4.746835443037974</v>
      </c>
      <c r="O22" s="12">
        <f t="shared" si="9"/>
        <v>1.2146144704646182</v>
      </c>
    </row>
    <row r="23" spans="1:15" ht="15">
      <c r="A23" s="9">
        <v>70</v>
      </c>
      <c r="B23" s="10">
        <f t="shared" si="0"/>
        <v>40</v>
      </c>
      <c r="C23" s="11">
        <f>C22</f>
        <v>0.04</v>
      </c>
      <c r="D23" s="11">
        <v>0.0588</v>
      </c>
      <c r="E23" s="11">
        <f t="shared" si="1"/>
        <v>0.018799999999999997</v>
      </c>
      <c r="F23" s="11">
        <v>0.1</v>
      </c>
      <c r="G23" s="11">
        <f t="shared" si="2"/>
        <v>0.9441684495659196</v>
      </c>
      <c r="H23" s="11">
        <f t="shared" si="3"/>
        <v>0.14094206351336738</v>
      </c>
      <c r="I23" s="11">
        <f t="shared" si="10"/>
        <v>0.03999</v>
      </c>
      <c r="J23" s="11">
        <f t="shared" si="4"/>
        <v>0.09980973043529895</v>
      </c>
      <c r="K23" s="11">
        <f t="shared" si="5"/>
        <v>2.4544952486684237</v>
      </c>
      <c r="L23" s="11">
        <f t="shared" si="6"/>
        <v>2.6485418358141906</v>
      </c>
      <c r="M23" s="11">
        <f t="shared" si="7"/>
        <v>5.103037084482614</v>
      </c>
      <c r="N23" s="11">
        <f t="shared" si="8"/>
        <v>5.1020408163265305</v>
      </c>
      <c r="O23" s="12">
        <f t="shared" si="9"/>
        <v>1.380962563861685</v>
      </c>
    </row>
    <row r="24" spans="1:15" ht="15.75">
      <c r="A24" s="13">
        <v>80</v>
      </c>
      <c r="B24" s="14">
        <f t="shared" si="0"/>
        <v>50</v>
      </c>
      <c r="C24" s="15">
        <f>C22</f>
        <v>0.04</v>
      </c>
      <c r="D24" s="15">
        <v>0.0553</v>
      </c>
      <c r="E24" s="15">
        <f t="shared" si="1"/>
        <v>0.015300000000000001</v>
      </c>
      <c r="F24" s="15">
        <v>0.1</v>
      </c>
      <c r="G24" s="15">
        <f t="shared" si="2"/>
        <v>1.035485248238603</v>
      </c>
      <c r="H24" s="15">
        <f t="shared" si="3"/>
        <v>0.13626976867413884</v>
      </c>
      <c r="I24" s="15">
        <f t="shared" si="10"/>
        <v>0.03999</v>
      </c>
      <c r="J24" s="15">
        <f t="shared" si="4"/>
        <v>0.09977072493674921</v>
      </c>
      <c r="K24" s="15">
        <f t="shared" si="5"/>
        <v>2.920044880712571</v>
      </c>
      <c r="L24" s="15">
        <f t="shared" si="6"/>
        <v>2.4985650433137687</v>
      </c>
      <c r="M24" s="15">
        <f t="shared" si="7"/>
        <v>5.41860992402634</v>
      </c>
      <c r="N24" s="15">
        <f t="shared" si="8"/>
        <v>5.424954792043399</v>
      </c>
      <c r="O24" s="16">
        <f t="shared" si="9"/>
        <v>1.5089084165654338</v>
      </c>
    </row>
    <row r="25" spans="1:15" ht="15">
      <c r="A25" s="152">
        <v>60</v>
      </c>
      <c r="B25" s="153">
        <f t="shared" si="0"/>
        <v>30</v>
      </c>
      <c r="C25" s="168">
        <v>0.05</v>
      </c>
      <c r="D25" s="168">
        <v>0.06967</v>
      </c>
      <c r="E25" s="168">
        <f t="shared" si="1"/>
        <v>0.019669999999999993</v>
      </c>
      <c r="F25" s="168">
        <v>0.1</v>
      </c>
      <c r="G25" s="168">
        <f t="shared" si="2"/>
        <v>0.842789676549468</v>
      </c>
      <c r="H25" s="168">
        <f t="shared" si="3"/>
        <v>0.12986778013651817</v>
      </c>
      <c r="I25" s="168">
        <f t="shared" si="10"/>
        <v>0.04999</v>
      </c>
      <c r="J25" s="168">
        <f t="shared" si="4"/>
        <v>0.09984335618738005</v>
      </c>
      <c r="K25" s="168">
        <f t="shared" si="5"/>
        <v>1.8516057788299145</v>
      </c>
      <c r="L25" s="168">
        <f t="shared" si="6"/>
        <v>2.4554744439895333</v>
      </c>
      <c r="M25" s="168">
        <f t="shared" si="7"/>
        <v>4.307080222819447</v>
      </c>
      <c r="N25" s="168">
        <f t="shared" si="8"/>
        <v>4.306014066312617</v>
      </c>
      <c r="O25" s="170">
        <f t="shared" si="9"/>
        <v>1.2060864754592915</v>
      </c>
    </row>
    <row r="26" spans="1:15" ht="15">
      <c r="A26" s="9">
        <v>70</v>
      </c>
      <c r="B26" s="10">
        <f t="shared" si="0"/>
        <v>40</v>
      </c>
      <c r="C26" s="11">
        <f>C25</f>
        <v>0.05</v>
      </c>
      <c r="D26" s="11">
        <v>0.0653</v>
      </c>
      <c r="E26" s="11">
        <f t="shared" si="1"/>
        <v>0.015299999999999994</v>
      </c>
      <c r="F26" s="11">
        <v>0.1</v>
      </c>
      <c r="G26" s="11">
        <f t="shared" si="2"/>
        <v>0.9491072701286232</v>
      </c>
      <c r="H26" s="11">
        <f t="shared" si="3"/>
        <v>0.12490243426197874</v>
      </c>
      <c r="I26" s="11">
        <f t="shared" si="10"/>
        <v>0.04999</v>
      </c>
      <c r="J26" s="11">
        <f t="shared" si="4"/>
        <v>0.09980339916860748</v>
      </c>
      <c r="K26" s="11">
        <f t="shared" si="5"/>
        <v>2.2952191237825454</v>
      </c>
      <c r="L26" s="11">
        <f t="shared" si="6"/>
        <v>2.290140059003429</v>
      </c>
      <c r="M26" s="11">
        <f t="shared" si="7"/>
        <v>4.585359182785974</v>
      </c>
      <c r="N26" s="11">
        <f t="shared" si="8"/>
        <v>4.594180704441041</v>
      </c>
      <c r="O26" s="12">
        <f t="shared" si="9"/>
        <v>1.3619700145942597</v>
      </c>
    </row>
    <row r="27" spans="1:15" ht="16.5" thickBot="1">
      <c r="A27" s="17">
        <v>80</v>
      </c>
      <c r="B27" s="18">
        <f t="shared" si="0"/>
        <v>50</v>
      </c>
      <c r="C27" s="19">
        <f>C25</f>
        <v>0.05</v>
      </c>
      <c r="D27" s="19">
        <v>0.06195</v>
      </c>
      <c r="E27" s="19">
        <f t="shared" si="1"/>
        <v>0.011949999999999995</v>
      </c>
      <c r="F27" s="19">
        <v>0.1</v>
      </c>
      <c r="G27" s="19">
        <f t="shared" si="2"/>
        <v>1.0215584467078815</v>
      </c>
      <c r="H27" s="19">
        <f t="shared" si="3"/>
        <v>0.11943589359680508</v>
      </c>
      <c r="I27" s="19">
        <f t="shared" si="10"/>
        <v>0.04999</v>
      </c>
      <c r="J27" s="19">
        <f t="shared" si="4"/>
        <v>0.099761973578962</v>
      </c>
      <c r="K27" s="19">
        <f t="shared" si="5"/>
        <v>2.704607645457294</v>
      </c>
      <c r="L27" s="19">
        <f t="shared" si="6"/>
        <v>2.139372803362804</v>
      </c>
      <c r="M27" s="19">
        <f t="shared" si="7"/>
        <v>4.843980448820098</v>
      </c>
      <c r="N27" s="19">
        <f t="shared" si="8"/>
        <v>4.842615012106537</v>
      </c>
      <c r="O27" s="20">
        <f t="shared" si="9"/>
        <v>1.4793935878816036</v>
      </c>
    </row>
    <row r="28" ht="13.5" thickTop="1"/>
  </sheetData>
  <mergeCells count="1">
    <mergeCell ref="A3:O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legacyDrawing r:id="rId2"/>
  <oleObjects>
    <oleObject progId="Equation.3" shapeId="4681514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E16"/>
    </sheetView>
  </sheetViews>
  <sheetFormatPr defaultColWidth="11.421875" defaultRowHeight="12.75"/>
  <cols>
    <col min="1" max="5" width="18.7109375" style="0" customWidth="1"/>
    <col min="6" max="6" width="10.7109375" style="0" customWidth="1"/>
  </cols>
  <sheetData>
    <row r="1" ht="12.75">
      <c r="A1" s="1"/>
    </row>
    <row r="2" ht="13.5" thickBot="1"/>
    <row r="3" spans="1:5" ht="60" customHeight="1" thickTop="1">
      <c r="A3" s="98" t="s">
        <v>65</v>
      </c>
      <c r="B3" s="90"/>
      <c r="C3" s="90"/>
      <c r="D3" s="90"/>
      <c r="E3" s="99"/>
    </row>
    <row r="4" spans="1:5" ht="15">
      <c r="A4" s="2"/>
      <c r="B4" s="3"/>
      <c r="C4" s="3"/>
      <c r="D4" s="3"/>
      <c r="E4" s="5"/>
    </row>
    <row r="5" spans="1:5" ht="15" customHeight="1">
      <c r="A5" s="48" t="s">
        <v>16</v>
      </c>
      <c r="B5" s="51"/>
      <c r="C5" s="7"/>
      <c r="D5" s="7"/>
      <c r="E5" s="92"/>
    </row>
    <row r="6" spans="1:5" ht="15">
      <c r="A6" s="49">
        <v>30</v>
      </c>
      <c r="B6" s="177"/>
      <c r="C6" s="39"/>
      <c r="D6" s="39"/>
      <c r="E6" s="12"/>
    </row>
    <row r="7" spans="1:6" ht="20.25" customHeight="1">
      <c r="A7" s="84" t="s">
        <v>22</v>
      </c>
      <c r="B7" s="178" t="s">
        <v>62</v>
      </c>
      <c r="C7" s="183" t="s">
        <v>25</v>
      </c>
      <c r="D7" s="184" t="s">
        <v>63</v>
      </c>
      <c r="E7" s="182" t="s">
        <v>64</v>
      </c>
      <c r="F7" s="63"/>
    </row>
    <row r="8" spans="1:5" ht="19.5" customHeight="1">
      <c r="A8" s="175">
        <v>1E-07</v>
      </c>
      <c r="B8" s="179">
        <f>(1-EXP(-A8*A$6))/(A8*A$6)</f>
        <v>0.9999985000064271</v>
      </c>
      <c r="C8" s="185">
        <v>1E-07</v>
      </c>
      <c r="D8" s="186">
        <f>(EXP(C8*A$6)-1)/(C8*A$6)</f>
        <v>1.0000014999770694</v>
      </c>
      <c r="E8" s="176">
        <f>D8/B8</f>
        <v>1.0000029999751423</v>
      </c>
    </row>
    <row r="9" spans="1:5" ht="19.5" customHeight="1">
      <c r="A9" s="93">
        <v>0.01</v>
      </c>
      <c r="B9" s="180">
        <f aca="true" t="shared" si="0" ref="B9:B16">(1-EXP(-A9*A$6))/(A9*A$6)</f>
        <v>0.8639392643942738</v>
      </c>
      <c r="C9" s="187">
        <v>0.01</v>
      </c>
      <c r="D9" s="188">
        <f aca="true" t="shared" si="1" ref="D9:D16">(EXP(C9*A$6)-1)/(C9*A$6)</f>
        <v>1.166196025253344</v>
      </c>
      <c r="E9" s="94">
        <f aca="true" t="shared" si="2" ref="E9:E16">D9/B9</f>
        <v>1.3498588075760036</v>
      </c>
    </row>
    <row r="10" spans="1:5" ht="19.5" customHeight="1">
      <c r="A10" s="93">
        <v>0.02</v>
      </c>
      <c r="B10" s="180">
        <f t="shared" si="0"/>
        <v>0.751980606509956</v>
      </c>
      <c r="C10" s="187">
        <v>0.02</v>
      </c>
      <c r="D10" s="188">
        <f t="shared" si="1"/>
        <v>1.3701980006508483</v>
      </c>
      <c r="E10" s="94">
        <f t="shared" si="2"/>
        <v>1.8221188003905089</v>
      </c>
    </row>
    <row r="11" spans="1:5" ht="19.5" customHeight="1">
      <c r="A11" s="93">
        <v>0.03</v>
      </c>
      <c r="B11" s="180">
        <f t="shared" si="0"/>
        <v>0.6593670447326676</v>
      </c>
      <c r="C11" s="187">
        <v>0.03</v>
      </c>
      <c r="D11" s="188">
        <f t="shared" si="1"/>
        <v>1.6217812346188327</v>
      </c>
      <c r="E11" s="94">
        <f t="shared" si="2"/>
        <v>2.4596031111569494</v>
      </c>
    </row>
    <row r="12" spans="1:5" ht="19.5" customHeight="1">
      <c r="A12" s="93">
        <v>0.04</v>
      </c>
      <c r="B12" s="180">
        <f t="shared" si="0"/>
        <v>0.5823381567398316</v>
      </c>
      <c r="C12" s="187">
        <v>0.04</v>
      </c>
      <c r="D12" s="188">
        <f t="shared" si="1"/>
        <v>1.9334307689471228</v>
      </c>
      <c r="E12" s="94">
        <f t="shared" si="2"/>
        <v>3.3201169227365472</v>
      </c>
    </row>
    <row r="13" spans="1:5" ht="19.5" customHeight="1">
      <c r="A13" s="93">
        <v>0.05</v>
      </c>
      <c r="B13" s="180">
        <f t="shared" si="0"/>
        <v>0.5179132265677134</v>
      </c>
      <c r="C13" s="187">
        <v>0.05</v>
      </c>
      <c r="D13" s="188">
        <f t="shared" si="1"/>
        <v>2.321126046892043</v>
      </c>
      <c r="E13" s="94">
        <f t="shared" si="2"/>
        <v>4.4816890703380645</v>
      </c>
    </row>
    <row r="14" spans="1:5" ht="19.5" customHeight="1">
      <c r="A14" s="93">
        <v>0.1</v>
      </c>
      <c r="B14" s="180">
        <f t="shared" si="0"/>
        <v>0.3167376438773787</v>
      </c>
      <c r="C14" s="187">
        <v>0.1</v>
      </c>
      <c r="D14" s="188">
        <f t="shared" si="1"/>
        <v>6.361845641062556</v>
      </c>
      <c r="E14" s="94">
        <f t="shared" si="2"/>
        <v>20.085536923187668</v>
      </c>
    </row>
    <row r="15" spans="1:5" ht="19.5" customHeight="1">
      <c r="A15" s="95">
        <v>0.017</v>
      </c>
      <c r="B15" s="180">
        <f t="shared" si="0"/>
        <v>0.7833420023288904</v>
      </c>
      <c r="C15" s="189">
        <v>0.03</v>
      </c>
      <c r="D15" s="188">
        <f t="shared" si="1"/>
        <v>1.6217812346188327</v>
      </c>
      <c r="E15" s="94">
        <f t="shared" si="2"/>
        <v>2.0703361109161094</v>
      </c>
    </row>
    <row r="16" spans="1:5" ht="19.5" customHeight="1" thickBot="1">
      <c r="A16" s="96">
        <v>0.01</v>
      </c>
      <c r="B16" s="181">
        <f t="shared" si="0"/>
        <v>0.8639392643942738</v>
      </c>
      <c r="C16" s="190">
        <v>0.05</v>
      </c>
      <c r="D16" s="191">
        <f t="shared" si="1"/>
        <v>2.321126046892043</v>
      </c>
      <c r="E16" s="97">
        <f t="shared" si="2"/>
        <v>2.6866773424396144</v>
      </c>
    </row>
    <row r="17" ht="13.5" thickTop="1"/>
  </sheetData>
  <mergeCells count="1">
    <mergeCell ref="A3:E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 topLeftCell="A1">
      <pane xSplit="1" ySplit="9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K30"/>
    </sheetView>
  </sheetViews>
  <sheetFormatPr defaultColWidth="11.421875" defaultRowHeight="12.75"/>
  <cols>
    <col min="1" max="11" width="11.7109375" style="0" customWidth="1"/>
    <col min="12" max="12" width="10.7109375" style="0" customWidth="1"/>
    <col min="21" max="21" width="20.421875" style="0" bestFit="1" customWidth="1"/>
  </cols>
  <sheetData>
    <row r="1" ht="12.75">
      <c r="A1" s="1"/>
    </row>
    <row r="2" ht="13.5" thickBot="1"/>
    <row r="3" spans="1:11" ht="60" customHeight="1" thickTop="1">
      <c r="A3" s="98" t="s">
        <v>1</v>
      </c>
      <c r="B3" s="90"/>
      <c r="C3" s="90"/>
      <c r="D3" s="90"/>
      <c r="E3" s="90"/>
      <c r="F3" s="90"/>
      <c r="G3" s="90"/>
      <c r="H3" s="91"/>
      <c r="I3" s="91"/>
      <c r="J3" s="91"/>
      <c r="K3" s="99"/>
    </row>
    <row r="4" spans="1:11" ht="15">
      <c r="A4" s="2"/>
      <c r="B4" s="3"/>
      <c r="C4" s="3"/>
      <c r="D4" s="3"/>
      <c r="E4" s="3"/>
      <c r="F4" s="3"/>
      <c r="G4" s="3"/>
      <c r="H4" s="4"/>
      <c r="I4" s="4"/>
      <c r="J4" s="4"/>
      <c r="K4" s="5"/>
    </row>
    <row r="5" spans="1:11" ht="18" customHeight="1">
      <c r="A5" s="46" t="s">
        <v>38</v>
      </c>
      <c r="B5" s="43" t="s">
        <v>42</v>
      </c>
      <c r="C5" s="103" t="s">
        <v>37</v>
      </c>
      <c r="D5" s="107"/>
      <c r="E5" s="113"/>
      <c r="F5" s="103" t="s">
        <v>40</v>
      </c>
      <c r="G5" s="107"/>
      <c r="H5" s="113"/>
      <c r="I5" s="103" t="s">
        <v>41</v>
      </c>
      <c r="J5" s="107"/>
      <c r="K5" s="108"/>
    </row>
    <row r="6" spans="1:11" ht="18" customHeight="1">
      <c r="A6" s="47">
        <v>0.2</v>
      </c>
      <c r="B6" s="50">
        <v>6</v>
      </c>
      <c r="C6" s="105"/>
      <c r="D6" s="109"/>
      <c r="E6" s="106"/>
      <c r="F6" s="105"/>
      <c r="G6" s="109"/>
      <c r="H6" s="106"/>
      <c r="I6" s="105"/>
      <c r="J6" s="109"/>
      <c r="K6" s="110"/>
    </row>
    <row r="7" spans="1:11" ht="15" customHeight="1">
      <c r="A7" s="48" t="s">
        <v>15</v>
      </c>
      <c r="B7" s="37" t="s">
        <v>16</v>
      </c>
      <c r="C7" s="114"/>
      <c r="D7" s="115"/>
      <c r="E7" s="116"/>
      <c r="F7" s="114"/>
      <c r="G7" s="115"/>
      <c r="H7" s="116"/>
      <c r="I7" s="114"/>
      <c r="J7" s="115"/>
      <c r="K7" s="117"/>
    </row>
    <row r="8" spans="1:11" ht="15">
      <c r="A8" s="49">
        <v>20</v>
      </c>
      <c r="B8" s="42">
        <v>30</v>
      </c>
      <c r="C8" s="57" t="s">
        <v>39</v>
      </c>
      <c r="D8" s="54">
        <v>0.05</v>
      </c>
      <c r="E8" s="55"/>
      <c r="F8" s="53" t="s">
        <v>22</v>
      </c>
      <c r="G8" s="54">
        <v>0.02</v>
      </c>
      <c r="H8" s="55"/>
      <c r="I8" s="53" t="s">
        <v>25</v>
      </c>
      <c r="J8" s="54">
        <v>0.03</v>
      </c>
      <c r="K8" s="56"/>
    </row>
    <row r="9" spans="1:11" ht="19.5">
      <c r="A9" s="6" t="s">
        <v>20</v>
      </c>
      <c r="B9" s="7" t="s">
        <v>21</v>
      </c>
      <c r="C9" s="52" t="s">
        <v>22</v>
      </c>
      <c r="D9" s="51" t="s">
        <v>57</v>
      </c>
      <c r="E9" s="7" t="s">
        <v>36</v>
      </c>
      <c r="F9" s="52" t="s">
        <v>27</v>
      </c>
      <c r="G9" s="51" t="s">
        <v>57</v>
      </c>
      <c r="H9" s="7" t="s">
        <v>36</v>
      </c>
      <c r="I9" s="52" t="s">
        <v>22</v>
      </c>
      <c r="J9" s="51" t="s">
        <v>57</v>
      </c>
      <c r="K9" s="8" t="s">
        <v>36</v>
      </c>
    </row>
    <row r="10" spans="1:11" ht="15">
      <c r="A10" s="144">
        <v>60</v>
      </c>
      <c r="B10" s="145">
        <f aca="true" t="shared" si="0" ref="B10:B30">A10-B$8</f>
        <v>30</v>
      </c>
      <c r="C10" s="151">
        <v>1E-06</v>
      </c>
      <c r="D10" s="148">
        <f aca="true" t="shared" si="1" ref="D10:D15">($A10-$A$8)/$B$8</f>
        <v>1.3333333333333333</v>
      </c>
      <c r="E10" s="148">
        <f aca="true" t="shared" si="2" ref="E10:E30">$B$6*D10/($A10-$A$8)</f>
        <v>0.2</v>
      </c>
      <c r="F10" s="151">
        <v>1E-06</v>
      </c>
      <c r="G10" s="148">
        <f>(1-EXP(-($G$8-$A$6*$F10)*($A10-$A$8)))/(1-EXP(-($G$8-$A$6*$F10)*$B$8))</f>
        <v>1.2204912719831869</v>
      </c>
      <c r="H10" s="148">
        <f aca="true" t="shared" si="3" ref="H10:H30">$B$6*G10/($A10-$A$8)</f>
        <v>0.183073690797478</v>
      </c>
      <c r="I10" s="151">
        <v>1E-06</v>
      </c>
      <c r="J10" s="148">
        <f>($A10-$A$8)/$B$8</f>
        <v>1.3333333333333333</v>
      </c>
      <c r="K10" s="150">
        <f aca="true" t="shared" si="4" ref="K10:K30">$B$6*J10/($A10-$A$8)</f>
        <v>0.2</v>
      </c>
    </row>
    <row r="11" spans="1:11" ht="15">
      <c r="A11" s="9">
        <v>70</v>
      </c>
      <c r="B11" s="10">
        <f t="shared" si="0"/>
        <v>40</v>
      </c>
      <c r="C11" s="26">
        <v>1E-06</v>
      </c>
      <c r="D11" s="24">
        <f t="shared" si="1"/>
        <v>1.6666666666666667</v>
      </c>
      <c r="E11" s="24">
        <f t="shared" si="2"/>
        <v>0.2</v>
      </c>
      <c r="F11" s="26">
        <v>1E-06</v>
      </c>
      <c r="G11" s="24">
        <f aca="true" t="shared" si="5" ref="G11:G27">(1-EXP(-($G$8-$A$6*$F11)*($A11-$A$8)))/(1-EXP(-($G$8-$A$6*$F11)*$B$8))</f>
        <v>1.4010146181874346</v>
      </c>
      <c r="H11" s="24">
        <f t="shared" si="3"/>
        <v>0.16812175418249214</v>
      </c>
      <c r="I11" s="26">
        <v>1E-06</v>
      </c>
      <c r="J11" s="24">
        <f>($A11-$A$8)/$B$8</f>
        <v>1.6666666666666667</v>
      </c>
      <c r="K11" s="32">
        <f t="shared" si="4"/>
        <v>0.2</v>
      </c>
    </row>
    <row r="12" spans="1:11" ht="15.75">
      <c r="A12" s="13">
        <v>80</v>
      </c>
      <c r="B12" s="14">
        <f t="shared" si="0"/>
        <v>50</v>
      </c>
      <c r="C12" s="28">
        <v>1E-06</v>
      </c>
      <c r="D12" s="15">
        <f t="shared" si="1"/>
        <v>2</v>
      </c>
      <c r="E12" s="15">
        <f t="shared" si="2"/>
        <v>0.2</v>
      </c>
      <c r="F12" s="28">
        <v>1E-06</v>
      </c>
      <c r="G12" s="15">
        <f t="shared" si="5"/>
        <v>1.5488149289737219</v>
      </c>
      <c r="H12" s="15">
        <f t="shared" si="3"/>
        <v>0.15488149289737219</v>
      </c>
      <c r="I12" s="28">
        <v>1E-06</v>
      </c>
      <c r="J12" s="15">
        <f>($A12-$A$8)/$B$8</f>
        <v>2</v>
      </c>
      <c r="K12" s="16">
        <f t="shared" si="4"/>
        <v>0.2</v>
      </c>
    </row>
    <row r="13" spans="1:11" ht="15">
      <c r="A13" s="152">
        <v>60</v>
      </c>
      <c r="B13" s="153">
        <f t="shared" si="0"/>
        <v>30</v>
      </c>
      <c r="C13" s="165">
        <v>0.01</v>
      </c>
      <c r="D13" s="156">
        <f t="shared" si="1"/>
        <v>1.3333333333333333</v>
      </c>
      <c r="E13" s="156">
        <f t="shared" si="2"/>
        <v>0.2</v>
      </c>
      <c r="F13" s="165">
        <v>0.01</v>
      </c>
      <c r="G13" s="156">
        <f t="shared" si="5"/>
        <v>1.2300673321566549</v>
      </c>
      <c r="H13" s="156">
        <f t="shared" si="3"/>
        <v>0.18451009982349822</v>
      </c>
      <c r="I13" s="165">
        <v>0.01</v>
      </c>
      <c r="J13" s="156">
        <f>(1-EXP(-($I13-$A$6*($I13+$J$8))*($A13-$A$8)))/(1-EXP(-($I13-$A$6*($I13+$J$8))*$B$8))</f>
        <v>1.320220448901034</v>
      </c>
      <c r="K13" s="158">
        <f t="shared" si="4"/>
        <v>0.1980330673351551</v>
      </c>
    </row>
    <row r="14" spans="1:21" ht="15">
      <c r="A14" s="9">
        <v>70</v>
      </c>
      <c r="B14" s="10">
        <f t="shared" si="0"/>
        <v>40</v>
      </c>
      <c r="C14" s="26">
        <f>C13</f>
        <v>0.01</v>
      </c>
      <c r="D14" s="24">
        <f t="shared" si="1"/>
        <v>1.6666666666666667</v>
      </c>
      <c r="E14" s="24">
        <f t="shared" si="2"/>
        <v>0.2</v>
      </c>
      <c r="F14" s="26">
        <f>F13</f>
        <v>0.01</v>
      </c>
      <c r="G14" s="24">
        <f t="shared" si="5"/>
        <v>1.4222357213259713</v>
      </c>
      <c r="H14" s="24">
        <f t="shared" si="3"/>
        <v>0.17066828655911656</v>
      </c>
      <c r="I14" s="26">
        <f>I13</f>
        <v>0.01</v>
      </c>
      <c r="J14" s="24">
        <f aca="true" t="shared" si="6" ref="J14:J30">(1-EXP(-($I14-$A$6*($I14+$J$8))*($A14-$A$8)))/(1-EXP(-($I14-$A$6*($I14+$J$8))*$B$8))</f>
        <v>1.634100108079521</v>
      </c>
      <c r="K14" s="32">
        <f t="shared" si="4"/>
        <v>0.19609201296954254</v>
      </c>
      <c r="L14" s="21"/>
      <c r="M14" s="21"/>
      <c r="N14" s="21" t="s">
        <v>22</v>
      </c>
      <c r="O14" s="58" t="s">
        <v>18</v>
      </c>
      <c r="P14" s="59" t="s">
        <v>23</v>
      </c>
      <c r="Q14" s="59" t="s">
        <v>27</v>
      </c>
      <c r="R14" s="59" t="s">
        <v>43</v>
      </c>
      <c r="S14" s="59" t="s">
        <v>45</v>
      </c>
      <c r="T14" s="59" t="s">
        <v>44</v>
      </c>
      <c r="U14" s="59" t="s">
        <v>46</v>
      </c>
    </row>
    <row r="15" spans="1:21" ht="15.75">
      <c r="A15" s="159">
        <v>80</v>
      </c>
      <c r="B15" s="160">
        <f t="shared" si="0"/>
        <v>50</v>
      </c>
      <c r="C15" s="162">
        <f>C14</f>
        <v>0.01</v>
      </c>
      <c r="D15" s="163">
        <f t="shared" si="1"/>
        <v>2</v>
      </c>
      <c r="E15" s="163">
        <f t="shared" si="2"/>
        <v>0.2</v>
      </c>
      <c r="F15" s="162">
        <f>F14</f>
        <v>0.01</v>
      </c>
      <c r="G15" s="163">
        <f t="shared" si="5"/>
        <v>1.5827482523739898</v>
      </c>
      <c r="H15" s="163">
        <f t="shared" si="3"/>
        <v>0.15827482523739897</v>
      </c>
      <c r="I15" s="162">
        <f>I14</f>
        <v>0.01</v>
      </c>
      <c r="J15" s="163">
        <f t="shared" si="6"/>
        <v>1.9417645335842497</v>
      </c>
      <c r="K15" s="164">
        <f t="shared" si="4"/>
        <v>0.19417645335842498</v>
      </c>
      <c r="L15" s="61"/>
      <c r="M15" s="22"/>
      <c r="N15" s="22">
        <v>0.02</v>
      </c>
      <c r="O15" s="22">
        <v>0.3</v>
      </c>
      <c r="P15" s="61">
        <f>O15*L15+(1-O15)*M15</f>
        <v>0</v>
      </c>
      <c r="Q15" s="22">
        <v>0.06</v>
      </c>
      <c r="R15" s="22">
        <f>(P15-O15*N15/Q15)/(N15-L15*Q15)</f>
        <v>-5</v>
      </c>
      <c r="S15" s="22">
        <f>O15/Q15</f>
        <v>5</v>
      </c>
      <c r="T15" s="22">
        <f>(R15+S15)/(1+Q15*R15)</f>
        <v>0</v>
      </c>
      <c r="U15" s="22">
        <f>Q15*R15</f>
        <v>-0.3</v>
      </c>
    </row>
    <row r="16" spans="1:11" ht="15">
      <c r="A16" s="9">
        <v>60</v>
      </c>
      <c r="B16" s="10">
        <f t="shared" si="0"/>
        <v>30</v>
      </c>
      <c r="C16" s="26">
        <v>0.02</v>
      </c>
      <c r="D16" s="24">
        <f aca="true" t="shared" si="7" ref="D16:D30">(1-EXP(-($C16-$A$6*$D$8)*($A16-$A$8)))/(1-EXP(-($C16-$A$6*$D$8)*$B$8))</f>
        <v>1.272002819146885</v>
      </c>
      <c r="E16" s="24">
        <f t="shared" si="2"/>
        <v>0.19080042287203275</v>
      </c>
      <c r="F16" s="26">
        <v>0.02</v>
      </c>
      <c r="G16" s="24">
        <f t="shared" si="5"/>
        <v>1.2399973290685347</v>
      </c>
      <c r="H16" s="24">
        <f t="shared" si="3"/>
        <v>0.18599959936028018</v>
      </c>
      <c r="I16" s="26">
        <v>0.02</v>
      </c>
      <c r="J16" s="24">
        <f t="shared" si="6"/>
        <v>1.272002819146885</v>
      </c>
      <c r="K16" s="32">
        <f t="shared" si="4"/>
        <v>0.19080042287203275</v>
      </c>
    </row>
    <row r="17" spans="1:13" ht="15">
      <c r="A17" s="9">
        <v>70</v>
      </c>
      <c r="B17" s="10">
        <f t="shared" si="0"/>
        <v>40</v>
      </c>
      <c r="C17" s="26">
        <f>C16</f>
        <v>0.02</v>
      </c>
      <c r="D17" s="24">
        <f t="shared" si="7"/>
        <v>1.5181211477222547</v>
      </c>
      <c r="E17" s="24">
        <f t="shared" si="2"/>
        <v>0.18217453772667055</v>
      </c>
      <c r="F17" s="26">
        <f>F16</f>
        <v>0.02</v>
      </c>
      <c r="G17" s="24">
        <f t="shared" si="5"/>
        <v>1.4445095624027666</v>
      </c>
      <c r="H17" s="24">
        <f t="shared" si="3"/>
        <v>0.17334114748833201</v>
      </c>
      <c r="I17" s="26">
        <f>I16</f>
        <v>0.02</v>
      </c>
      <c r="J17" s="24">
        <f t="shared" si="6"/>
        <v>1.5181211477222547</v>
      </c>
      <c r="K17" s="32">
        <f t="shared" si="4"/>
        <v>0.18217453772667055</v>
      </c>
      <c r="M17" s="60"/>
    </row>
    <row r="18" spans="1:11" ht="15.75">
      <c r="A18" s="13">
        <v>80</v>
      </c>
      <c r="B18" s="14">
        <f t="shared" si="0"/>
        <v>50</v>
      </c>
      <c r="C18" s="28">
        <f>C17</f>
        <v>0.02</v>
      </c>
      <c r="D18" s="15">
        <f t="shared" si="7"/>
        <v>1.7408182206817178</v>
      </c>
      <c r="E18" s="15">
        <f t="shared" si="2"/>
        <v>0.1740818220681718</v>
      </c>
      <c r="F18" s="28">
        <f>F17</f>
        <v>0.02</v>
      </c>
      <c r="G18" s="15">
        <f t="shared" si="5"/>
        <v>1.6187833918061407</v>
      </c>
      <c r="H18" s="15">
        <f t="shared" si="3"/>
        <v>0.16187833918061406</v>
      </c>
      <c r="I18" s="28">
        <f>I17</f>
        <v>0.02</v>
      </c>
      <c r="J18" s="15">
        <f t="shared" si="6"/>
        <v>1.7408182206817178</v>
      </c>
      <c r="K18" s="16">
        <f t="shared" si="4"/>
        <v>0.1740818220681718</v>
      </c>
    </row>
    <row r="19" spans="1:11" ht="15">
      <c r="A19" s="152">
        <v>60</v>
      </c>
      <c r="B19" s="153">
        <f t="shared" si="0"/>
        <v>30</v>
      </c>
      <c r="C19" s="165">
        <v>0.03</v>
      </c>
      <c r="D19" s="156">
        <f t="shared" si="7"/>
        <v>1.2204903316113374</v>
      </c>
      <c r="E19" s="156">
        <f t="shared" si="2"/>
        <v>0.1830735497417006</v>
      </c>
      <c r="F19" s="165">
        <v>0.03</v>
      </c>
      <c r="G19" s="156">
        <f t="shared" si="5"/>
        <v>1.250290013114771</v>
      </c>
      <c r="H19" s="156">
        <f t="shared" si="3"/>
        <v>0.18754350196721564</v>
      </c>
      <c r="I19" s="165">
        <v>0.03</v>
      </c>
      <c r="J19" s="156">
        <f t="shared" si="6"/>
        <v>1.2300673321566549</v>
      </c>
      <c r="K19" s="158">
        <f t="shared" si="4"/>
        <v>0.18451009982349822</v>
      </c>
    </row>
    <row r="20" spans="1:11" ht="15">
      <c r="A20" s="9">
        <v>70</v>
      </c>
      <c r="B20" s="10">
        <f t="shared" si="0"/>
        <v>40</v>
      </c>
      <c r="C20" s="26">
        <f>C19</f>
        <v>0.03</v>
      </c>
      <c r="D20" s="24">
        <f t="shared" si="7"/>
        <v>1.4010125468579016</v>
      </c>
      <c r="E20" s="24">
        <f t="shared" si="2"/>
        <v>0.16812150562294817</v>
      </c>
      <c r="F20" s="26">
        <f>F19</f>
        <v>0.03</v>
      </c>
      <c r="G20" s="24">
        <f t="shared" si="5"/>
        <v>1.4678816972541726</v>
      </c>
      <c r="H20" s="24">
        <f t="shared" si="3"/>
        <v>0.1761458036705007</v>
      </c>
      <c r="I20" s="26">
        <f>I19</f>
        <v>0.03</v>
      </c>
      <c r="J20" s="24">
        <f t="shared" si="6"/>
        <v>1.422235721325971</v>
      </c>
      <c r="K20" s="32">
        <f t="shared" si="4"/>
        <v>0.17066828655911653</v>
      </c>
    </row>
    <row r="21" spans="1:11" ht="15.75">
      <c r="A21" s="159">
        <v>80</v>
      </c>
      <c r="B21" s="160">
        <f t="shared" si="0"/>
        <v>50</v>
      </c>
      <c r="C21" s="162">
        <f>C20</f>
        <v>0.03</v>
      </c>
      <c r="D21" s="163">
        <f t="shared" si="7"/>
        <v>1.5488116360940265</v>
      </c>
      <c r="E21" s="163">
        <f t="shared" si="2"/>
        <v>0.15488116360940266</v>
      </c>
      <c r="F21" s="162">
        <f>F20</f>
        <v>0.03</v>
      </c>
      <c r="G21" s="163">
        <f t="shared" si="5"/>
        <v>1.6570468198150567</v>
      </c>
      <c r="H21" s="163">
        <f t="shared" si="3"/>
        <v>0.16570468198150567</v>
      </c>
      <c r="I21" s="162">
        <f>I20</f>
        <v>0.03</v>
      </c>
      <c r="J21" s="163">
        <f t="shared" si="6"/>
        <v>1.5827482523739898</v>
      </c>
      <c r="K21" s="164">
        <f t="shared" si="4"/>
        <v>0.15827482523739897</v>
      </c>
    </row>
    <row r="22" spans="1:11" ht="15">
      <c r="A22" s="9">
        <v>60</v>
      </c>
      <c r="B22" s="10">
        <f t="shared" si="0"/>
        <v>30</v>
      </c>
      <c r="C22" s="26">
        <v>0.04</v>
      </c>
      <c r="D22" s="24">
        <f t="shared" si="7"/>
        <v>1.1775700375925087</v>
      </c>
      <c r="E22" s="24">
        <f t="shared" si="2"/>
        <v>0.17663550563887628</v>
      </c>
      <c r="F22" s="26">
        <v>0.04</v>
      </c>
      <c r="G22" s="24">
        <f t="shared" si="5"/>
        <v>1.2609551982469824</v>
      </c>
      <c r="H22" s="24">
        <f t="shared" si="3"/>
        <v>0.18914327973704737</v>
      </c>
      <c r="I22" s="26">
        <v>0.04</v>
      </c>
      <c r="J22" s="24">
        <f t="shared" si="6"/>
        <v>1.1937823010173592</v>
      </c>
      <c r="K22" s="32">
        <f t="shared" si="4"/>
        <v>0.17906734515260386</v>
      </c>
    </row>
    <row r="23" spans="1:11" ht="15">
      <c r="A23" s="9">
        <v>70</v>
      </c>
      <c r="B23" s="10">
        <f t="shared" si="0"/>
        <v>40</v>
      </c>
      <c r="C23" s="26">
        <f>C22</f>
        <v>0.04</v>
      </c>
      <c r="D23" s="24">
        <f t="shared" si="7"/>
        <v>1.309117156888177</v>
      </c>
      <c r="E23" s="24">
        <f t="shared" si="2"/>
        <v>0.15709405882658126</v>
      </c>
      <c r="F23" s="26">
        <f>F22</f>
        <v>0.04</v>
      </c>
      <c r="G23" s="24">
        <f t="shared" si="5"/>
        <v>1.4924016966398088</v>
      </c>
      <c r="H23" s="24">
        <f t="shared" si="3"/>
        <v>0.17908820359677705</v>
      </c>
      <c r="I23" s="26">
        <f>I22</f>
        <v>0.04</v>
      </c>
      <c r="J23" s="24">
        <f t="shared" si="6"/>
        <v>1.343198451517458</v>
      </c>
      <c r="K23" s="32">
        <f t="shared" si="4"/>
        <v>0.16118381418209496</v>
      </c>
    </row>
    <row r="24" spans="1:11" ht="15.75">
      <c r="A24" s="13">
        <v>80</v>
      </c>
      <c r="B24" s="14">
        <f t="shared" si="0"/>
        <v>50</v>
      </c>
      <c r="C24" s="28">
        <f>C23</f>
        <v>0.04</v>
      </c>
      <c r="D24" s="15">
        <f t="shared" si="7"/>
        <v>1.4065696597405994</v>
      </c>
      <c r="E24" s="15">
        <f t="shared" si="2"/>
        <v>0.14065696597405994</v>
      </c>
      <c r="F24" s="28">
        <f>F23</f>
        <v>0.04</v>
      </c>
      <c r="G24" s="15">
        <f t="shared" si="5"/>
        <v>1.6976763260710306</v>
      </c>
      <c r="H24" s="15">
        <f t="shared" si="3"/>
        <v>0.16976763260710304</v>
      </c>
      <c r="I24" s="28">
        <f>I23</f>
        <v>0.04</v>
      </c>
      <c r="J24" s="15">
        <f t="shared" si="6"/>
        <v>1.4584060113052235</v>
      </c>
      <c r="K24" s="16">
        <f t="shared" si="4"/>
        <v>0.14584060113052236</v>
      </c>
    </row>
    <row r="25" spans="1:11" ht="15">
      <c r="A25" s="152">
        <v>60</v>
      </c>
      <c r="B25" s="153">
        <f t="shared" si="0"/>
        <v>30</v>
      </c>
      <c r="C25" s="165">
        <v>0.05</v>
      </c>
      <c r="D25" s="156">
        <f t="shared" si="7"/>
        <v>1.1420962671034303</v>
      </c>
      <c r="E25" s="156">
        <f t="shared" si="2"/>
        <v>0.17131444006551452</v>
      </c>
      <c r="F25" s="165">
        <v>0.05</v>
      </c>
      <c r="G25" s="156">
        <f t="shared" si="5"/>
        <v>1.272002819146885</v>
      </c>
      <c r="H25" s="156">
        <f t="shared" si="3"/>
        <v>0.19080042287203275</v>
      </c>
      <c r="I25" s="165">
        <v>0.05</v>
      </c>
      <c r="J25" s="156">
        <f t="shared" si="6"/>
        <v>1.1625482338967668</v>
      </c>
      <c r="K25" s="158">
        <f t="shared" si="4"/>
        <v>0.174382235084515</v>
      </c>
    </row>
    <row r="26" spans="1:11" ht="15">
      <c r="A26" s="9">
        <v>70</v>
      </c>
      <c r="B26" s="10">
        <f t="shared" si="0"/>
        <v>40</v>
      </c>
      <c r="C26" s="26">
        <v>0.05</v>
      </c>
      <c r="D26" s="24">
        <f t="shared" si="7"/>
        <v>1.237346243409694</v>
      </c>
      <c r="E26" s="24">
        <f t="shared" si="2"/>
        <v>0.1484815492091633</v>
      </c>
      <c r="F26" s="26">
        <v>0.05</v>
      </c>
      <c r="G26" s="24">
        <f t="shared" si="5"/>
        <v>1.5181211477222547</v>
      </c>
      <c r="H26" s="24">
        <f t="shared" si="3"/>
        <v>0.18217453772667055</v>
      </c>
      <c r="I26" s="26">
        <v>0.05</v>
      </c>
      <c r="J26" s="24">
        <f t="shared" si="6"/>
        <v>1.2782452428019604</v>
      </c>
      <c r="K26" s="32">
        <f t="shared" si="4"/>
        <v>0.15338942913623524</v>
      </c>
    </row>
    <row r="27" spans="1:11" ht="15.75">
      <c r="A27" s="159">
        <v>80</v>
      </c>
      <c r="B27" s="160">
        <f t="shared" si="0"/>
        <v>50</v>
      </c>
      <c r="C27" s="162">
        <f>C26</f>
        <v>0.05</v>
      </c>
      <c r="D27" s="163">
        <f t="shared" si="7"/>
        <v>1.3011942119122024</v>
      </c>
      <c r="E27" s="163">
        <f t="shared" si="2"/>
        <v>0.13011942119122025</v>
      </c>
      <c r="F27" s="162">
        <f>F26</f>
        <v>0.05</v>
      </c>
      <c r="G27" s="163">
        <f t="shared" si="5"/>
        <v>1.7408182206817178</v>
      </c>
      <c r="H27" s="163">
        <f t="shared" si="3"/>
        <v>0.1740818220681718</v>
      </c>
      <c r="I27" s="162">
        <f>I26</f>
        <v>0.05</v>
      </c>
      <c r="J27" s="163">
        <f t="shared" si="6"/>
        <v>1.3605949401730784</v>
      </c>
      <c r="K27" s="164">
        <f t="shared" si="4"/>
        <v>0.13605949401730785</v>
      </c>
    </row>
    <row r="28" spans="1:11" ht="15">
      <c r="A28" s="9">
        <v>60</v>
      </c>
      <c r="B28" s="10">
        <f t="shared" si="0"/>
        <v>30</v>
      </c>
      <c r="C28" s="26">
        <v>0.1</v>
      </c>
      <c r="D28" s="24">
        <f t="shared" si="7"/>
        <v>1.0427551736605944</v>
      </c>
      <c r="E28" s="24">
        <f t="shared" si="2"/>
        <v>0.15641327604908917</v>
      </c>
      <c r="F28" s="26">
        <v>0.1</v>
      </c>
      <c r="G28" s="24">
        <f>($A28-$A$8)/$B$8</f>
        <v>1.3333333333333333</v>
      </c>
      <c r="H28" s="24">
        <f t="shared" si="3"/>
        <v>0.2</v>
      </c>
      <c r="I28" s="26">
        <v>0.1</v>
      </c>
      <c r="J28" s="24">
        <f t="shared" si="6"/>
        <v>1.0637096387392637</v>
      </c>
      <c r="K28" s="32">
        <f t="shared" si="4"/>
        <v>0.15955644581088957</v>
      </c>
    </row>
    <row r="29" spans="1:11" ht="15">
      <c r="A29" s="9">
        <v>70</v>
      </c>
      <c r="B29" s="10">
        <f t="shared" si="0"/>
        <v>40</v>
      </c>
      <c r="C29" s="26">
        <f>C28</f>
        <v>0.1</v>
      </c>
      <c r="D29" s="24">
        <f t="shared" si="7"/>
        <v>1.0601381300679327</v>
      </c>
      <c r="E29" s="24">
        <f t="shared" si="2"/>
        <v>0.12721657560815192</v>
      </c>
      <c r="F29" s="26">
        <f>F28</f>
        <v>0.1</v>
      </c>
      <c r="G29" s="24">
        <f>($A29-$A$8)/$B$8</f>
        <v>1.6666666666666667</v>
      </c>
      <c r="H29" s="24">
        <f t="shared" si="3"/>
        <v>0.2</v>
      </c>
      <c r="I29" s="26">
        <f>I28</f>
        <v>0.1</v>
      </c>
      <c r="J29" s="24">
        <f t="shared" si="6"/>
        <v>1.0941063939345843</v>
      </c>
      <c r="K29" s="32">
        <f t="shared" si="4"/>
        <v>0.1312927672721501</v>
      </c>
    </row>
    <row r="30" spans="1:11" ht="16.5" thickBot="1">
      <c r="A30" s="17">
        <v>80</v>
      </c>
      <c r="B30" s="18">
        <f t="shared" si="0"/>
        <v>50</v>
      </c>
      <c r="C30" s="30">
        <f>C29</f>
        <v>0.1</v>
      </c>
      <c r="D30" s="19">
        <f t="shared" si="7"/>
        <v>1.0672055127397497</v>
      </c>
      <c r="E30" s="19">
        <f t="shared" si="2"/>
        <v>0.10672055127397498</v>
      </c>
      <c r="F30" s="30">
        <f>F29</f>
        <v>0.1</v>
      </c>
      <c r="G30" s="19">
        <f>($A30-$A$8)/$B$8</f>
        <v>2</v>
      </c>
      <c r="H30" s="19">
        <f t="shared" si="3"/>
        <v>0.2</v>
      </c>
      <c r="I30" s="30">
        <f>I29</f>
        <v>0.1</v>
      </c>
      <c r="J30" s="19">
        <f t="shared" si="6"/>
        <v>1.108609108824958</v>
      </c>
      <c r="K30" s="20">
        <f t="shared" si="4"/>
        <v>0.11086091088249579</v>
      </c>
    </row>
    <row r="31" ht="13.5" thickTop="1"/>
  </sheetData>
  <mergeCells count="4">
    <mergeCell ref="A3:K3"/>
    <mergeCell ref="C5:E7"/>
    <mergeCell ref="F5:H7"/>
    <mergeCell ref="I5:K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M31"/>
    </sheetView>
  </sheetViews>
  <sheetFormatPr defaultColWidth="11.421875" defaultRowHeight="12.75"/>
  <cols>
    <col min="1" max="10" width="9.7109375" style="0" customWidth="1"/>
    <col min="11" max="12" width="11.7109375" style="0" customWidth="1"/>
    <col min="13" max="13" width="9.7109375" style="0" customWidth="1"/>
  </cols>
  <sheetData>
    <row r="1" ht="12.75">
      <c r="A1" s="1"/>
    </row>
    <row r="2" ht="13.5" thickBot="1"/>
    <row r="3" spans="1:13" ht="39.75" customHeight="1" thickTop="1">
      <c r="A3" s="98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1"/>
      <c r="L3" s="91"/>
      <c r="M3" s="99"/>
    </row>
    <row r="4" spans="1:13" ht="1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5"/>
    </row>
    <row r="5" spans="1:13" ht="24.75" customHeight="1">
      <c r="A5" s="80" t="s">
        <v>15</v>
      </c>
      <c r="B5" s="81" t="s">
        <v>16</v>
      </c>
      <c r="C5" s="120" t="s">
        <v>58</v>
      </c>
      <c r="D5" s="107"/>
      <c r="E5" s="107"/>
      <c r="F5" s="121"/>
      <c r="G5" s="120" t="s">
        <v>59</v>
      </c>
      <c r="H5" s="100"/>
      <c r="I5" s="100"/>
      <c r="J5" s="66"/>
      <c r="K5" s="120" t="s">
        <v>60</v>
      </c>
      <c r="L5" s="107"/>
      <c r="M5" s="76" t="s">
        <v>47</v>
      </c>
    </row>
    <row r="6" spans="1:13" ht="24.75" customHeight="1">
      <c r="A6" s="82">
        <v>20</v>
      </c>
      <c r="B6" s="83">
        <v>30</v>
      </c>
      <c r="C6" s="122"/>
      <c r="D6" s="109"/>
      <c r="E6" s="109"/>
      <c r="F6" s="123"/>
      <c r="G6" s="126"/>
      <c r="H6" s="127"/>
      <c r="I6" s="127"/>
      <c r="J6" s="74" t="s">
        <v>19</v>
      </c>
      <c r="K6" s="122"/>
      <c r="L6" s="109"/>
      <c r="M6" s="77">
        <v>0.02</v>
      </c>
    </row>
    <row r="7" spans="1:13" ht="24.75" customHeight="1">
      <c r="A7" s="84" t="s">
        <v>33</v>
      </c>
      <c r="B7" s="85" t="s">
        <v>18</v>
      </c>
      <c r="C7" s="122"/>
      <c r="D7" s="109"/>
      <c r="E7" s="109"/>
      <c r="F7" s="123"/>
      <c r="G7" s="126"/>
      <c r="H7" s="127"/>
      <c r="I7" s="127"/>
      <c r="J7" s="75">
        <v>0.05</v>
      </c>
      <c r="K7" s="122"/>
      <c r="L7" s="109"/>
      <c r="M7" s="78" t="s">
        <v>48</v>
      </c>
    </row>
    <row r="8" spans="1:16" ht="24.75" customHeight="1">
      <c r="A8" s="86">
        <v>60</v>
      </c>
      <c r="B8" s="87">
        <v>0.3</v>
      </c>
      <c r="C8" s="124"/>
      <c r="D8" s="115"/>
      <c r="E8" s="115"/>
      <c r="F8" s="125"/>
      <c r="G8" s="128"/>
      <c r="H8" s="129"/>
      <c r="I8" s="129"/>
      <c r="J8" s="72"/>
      <c r="K8" s="124"/>
      <c r="L8" s="115"/>
      <c r="M8" s="79">
        <v>2</v>
      </c>
      <c r="N8" s="62"/>
      <c r="O8" s="62"/>
      <c r="P8" s="62"/>
    </row>
    <row r="9" spans="1:14" ht="12.75" customHeight="1">
      <c r="A9" s="130" t="s">
        <v>20</v>
      </c>
      <c r="B9" s="132" t="s">
        <v>21</v>
      </c>
      <c r="C9" s="134" t="s">
        <v>49</v>
      </c>
      <c r="D9" s="135"/>
      <c r="E9" s="109"/>
      <c r="F9" s="109"/>
      <c r="G9" s="134" t="s">
        <v>22</v>
      </c>
      <c r="H9" s="135"/>
      <c r="I9" s="109"/>
      <c r="J9" s="109"/>
      <c r="K9" s="118"/>
      <c r="L9" s="109"/>
      <c r="M9" s="109"/>
      <c r="N9" s="63"/>
    </row>
    <row r="10" spans="1:17" ht="15">
      <c r="A10" s="131"/>
      <c r="B10" s="133"/>
      <c r="C10" s="105"/>
      <c r="D10" s="136"/>
      <c r="E10" s="109"/>
      <c r="F10" s="109"/>
      <c r="G10" s="105"/>
      <c r="H10" s="136"/>
      <c r="I10" s="109"/>
      <c r="J10" s="109"/>
      <c r="K10" s="119"/>
      <c r="L10" s="109"/>
      <c r="M10" s="109"/>
      <c r="N10" s="63"/>
      <c r="O10" s="7" t="s">
        <v>22</v>
      </c>
      <c r="P10" s="7" t="s">
        <v>19</v>
      </c>
      <c r="Q10" s="7" t="s">
        <v>49</v>
      </c>
    </row>
    <row r="11" spans="1:17" ht="15">
      <c r="A11" s="144">
        <v>60</v>
      </c>
      <c r="B11" s="145">
        <f aca="true" t="shared" si="0" ref="B11:B31">A11-B$6</f>
        <v>30</v>
      </c>
      <c r="C11" s="151">
        <v>1E-06</v>
      </c>
      <c r="D11" s="166">
        <f aca="true" t="shared" si="1" ref="D11:D31">(1-EXP(-C11*($A11-$A$8)))/(EXP(C11*($A$8-$A$6))-EXP(-C11*($A11-$A$8)))</f>
        <v>0</v>
      </c>
      <c r="E11" s="166">
        <f>(1-B$8)*((D11*(EXP(C11*($A11-$A$6))-1-C11*($A11-$A$6))/(C11^2))-((EXP(C11*($A11-$A$8))-1-C11*($A11-$A$8))/(C11^2)))/($A11-$A$6)</f>
        <v>0</v>
      </c>
      <c r="F11" s="148">
        <f>E11/($B$8/C11)</f>
        <v>0</v>
      </c>
      <c r="G11" s="151">
        <v>1E-06</v>
      </c>
      <c r="H11" s="166">
        <f aca="true" t="shared" si="2" ref="H11:H31">(1-EXP(-($J$7-G11)*($A11-$A$8)))/(EXP(($J$7-G11)*($A$8-$A$6))-EXP(-($J$7-G11)*($A11-$A$8)))</f>
        <v>0</v>
      </c>
      <c r="I11" s="166">
        <f>(1-B$8)*((H11*(EXP(($J$7-G11)*($A11-$A$6))-1-(J$7-G11)*($A11-$A$6))/((J$7-G11)^2))-((EXP((J$7-G11)*($A11-$A$8))-1-(J$7-G11)*($A11-$A$8))/((J$7-G11)^2)))/($A11-$A$6)</f>
        <v>0</v>
      </c>
      <c r="J11" s="148">
        <f>I11/($B$8/$J$7)</f>
        <v>0</v>
      </c>
      <c r="K11" s="167">
        <f aca="true" t="shared" si="3" ref="K11:K31">(1-EXP(-Q11*($A11-$A$8)))/(EXP(Q11*($A$8-$A$6))-EXP(-Q11*($A11-$A$8)))</f>
        <v>0</v>
      </c>
      <c r="L11" s="166">
        <f>(1-B$8)*((K11*(EXP(Q11*($A11-$A$6))-1-Q11*($A11-$A$6))/(Q11^2))-((EXP(Q11*($A11-$A$8))-1-Q11*($A11-$A$8))/(Q11^2)))/($A11-$A$6)</f>
        <v>0</v>
      </c>
      <c r="M11" s="150">
        <f>L11/($B$8/P11)</f>
        <v>0</v>
      </c>
      <c r="O11" s="11">
        <v>1E-06</v>
      </c>
      <c r="P11" s="11">
        <f aca="true" t="shared" si="4" ref="P11:P31">M$6+M$8*O11</f>
        <v>0.020002</v>
      </c>
      <c r="Q11" s="11">
        <f>P11-O11</f>
        <v>0.020000999999999998</v>
      </c>
    </row>
    <row r="12" spans="1:17" ht="15">
      <c r="A12" s="9">
        <v>70</v>
      </c>
      <c r="B12" s="10">
        <f t="shared" si="0"/>
        <v>40</v>
      </c>
      <c r="C12" s="26">
        <f>C11</f>
        <v>1E-06</v>
      </c>
      <c r="D12" s="11">
        <f t="shared" si="1"/>
        <v>0.19999600001970158</v>
      </c>
      <c r="E12" s="11">
        <f aca="true" t="shared" si="5" ref="E12:E31">(1-B$8)*((D12*(EXP(C12*($A12-$A$6))-1-C12*($A12-$A$6))/(C12^2))-((EXP(C12*($A12-$A$8))-1-C12*($A12-$A$8))/(C12^2)))/($A12-$A$6)</f>
        <v>2.7999874295399416</v>
      </c>
      <c r="F12" s="11">
        <f aca="true" t="shared" si="6" ref="F12:F31">E12/($B$8/C12)</f>
        <v>9.333291431799805E-06</v>
      </c>
      <c r="G12" s="26">
        <f>G11</f>
        <v>1E-06</v>
      </c>
      <c r="H12" s="11">
        <f t="shared" si="2"/>
        <v>0.058013903040533304</v>
      </c>
      <c r="I12" s="11">
        <f aca="true" t="shared" si="7" ref="I12:I31">(1-B$8)*((H12*(EXP(($J$7-G12)*($A12-$A$6))-1-(J$7-G12)*($A12-$A$6))/((J$7-G12)^2))-((EXP((J$7-G12)*($A12-$A$8))-1-(J$7-G12)*($A12-$A$8))/((J$7-G12)^2)))/($A12-$A$6)</f>
        <v>1.9878451143348206</v>
      </c>
      <c r="J12" s="11">
        <f aca="true" t="shared" si="8" ref="J12:J31">I12/($B$8/$J$7)</f>
        <v>0.33130751905580347</v>
      </c>
      <c r="K12" s="67">
        <f t="shared" si="3"/>
        <v>0.1288481644063942</v>
      </c>
      <c r="L12" s="11">
        <f aca="true" t="shared" si="9" ref="L12:L31">(1-B$8)*((K12*(EXP(Q12*($A12-$A$6))-1-Q12*($A12-$A$6))/(Q12^2))-((EXP(Q12*($A12-$A$8))-1-Q12*($A12-$A$8))/(Q12^2)))/($A12-$A$6)</f>
        <v>2.4901897362893934</v>
      </c>
      <c r="M12" s="12">
        <f aca="true" t="shared" si="10" ref="M12:M31">L12/($B$8/P12)</f>
        <v>0.16602925035086816</v>
      </c>
      <c r="O12" s="11">
        <f>O11</f>
        <v>1E-06</v>
      </c>
      <c r="P12" s="11">
        <f t="shared" si="4"/>
        <v>0.020002</v>
      </c>
      <c r="Q12" s="11">
        <f aca="true" t="shared" si="11" ref="Q12:Q28">P12-O12</f>
        <v>0.020000999999999998</v>
      </c>
    </row>
    <row r="13" spans="1:17" ht="15.75">
      <c r="A13" s="13">
        <v>80</v>
      </c>
      <c r="B13" s="14">
        <f t="shared" si="0"/>
        <v>50</v>
      </c>
      <c r="C13" s="28">
        <f>C11</f>
        <v>1E-06</v>
      </c>
      <c r="D13" s="15">
        <f t="shared" si="1"/>
        <v>0.33332666668837396</v>
      </c>
      <c r="E13" s="15">
        <f t="shared" si="5"/>
        <v>4.666652258924436</v>
      </c>
      <c r="F13" s="15">
        <f t="shared" si="6"/>
        <v>1.555550752974812E-05</v>
      </c>
      <c r="G13" s="28">
        <f>G11</f>
        <v>1E-06</v>
      </c>
      <c r="H13" s="15">
        <f t="shared" si="2"/>
        <v>0.0900334095492893</v>
      </c>
      <c r="I13" s="15">
        <f t="shared" si="7"/>
        <v>3.40626705831778</v>
      </c>
      <c r="J13" s="15">
        <f t="shared" si="8"/>
        <v>0.5677111763862968</v>
      </c>
      <c r="K13" s="68">
        <f t="shared" si="3"/>
        <v>0.21197737965961236</v>
      </c>
      <c r="L13" s="15">
        <f t="shared" si="9"/>
        <v>4.247246016279418</v>
      </c>
      <c r="M13" s="16">
        <f t="shared" si="10"/>
        <v>0.28317804939206975</v>
      </c>
      <c r="O13" s="15">
        <f>O11</f>
        <v>1E-06</v>
      </c>
      <c r="P13" s="15">
        <f t="shared" si="4"/>
        <v>0.020002</v>
      </c>
      <c r="Q13" s="15">
        <f t="shared" si="11"/>
        <v>0.020000999999999998</v>
      </c>
    </row>
    <row r="14" spans="1:17" ht="15">
      <c r="A14" s="152">
        <v>60</v>
      </c>
      <c r="B14" s="153">
        <f t="shared" si="0"/>
        <v>30</v>
      </c>
      <c r="C14" s="165">
        <v>0.01</v>
      </c>
      <c r="D14" s="168">
        <f t="shared" si="1"/>
        <v>0</v>
      </c>
      <c r="E14" s="168">
        <f t="shared" si="5"/>
        <v>0</v>
      </c>
      <c r="F14" s="168">
        <f t="shared" si="6"/>
        <v>0</v>
      </c>
      <c r="G14" s="165">
        <v>0.01</v>
      </c>
      <c r="H14" s="168">
        <f t="shared" si="2"/>
        <v>0</v>
      </c>
      <c r="I14" s="168">
        <f t="shared" si="7"/>
        <v>0</v>
      </c>
      <c r="J14" s="168">
        <f t="shared" si="8"/>
        <v>0</v>
      </c>
      <c r="K14" s="169">
        <f t="shared" si="3"/>
        <v>0</v>
      </c>
      <c r="L14" s="168">
        <f t="shared" si="9"/>
        <v>0</v>
      </c>
      <c r="M14" s="170">
        <f t="shared" si="10"/>
        <v>0</v>
      </c>
      <c r="O14" s="11">
        <v>0.01</v>
      </c>
      <c r="P14" s="11">
        <f t="shared" si="4"/>
        <v>0.04</v>
      </c>
      <c r="Q14" s="11">
        <f t="shared" si="11"/>
        <v>0.03</v>
      </c>
    </row>
    <row r="15" spans="1:17" ht="15">
      <c r="A15" s="9">
        <v>70</v>
      </c>
      <c r="B15" s="10">
        <f t="shared" si="0"/>
        <v>40</v>
      </c>
      <c r="C15" s="26">
        <f>C14</f>
        <v>0.01</v>
      </c>
      <c r="D15" s="11">
        <f t="shared" si="1"/>
        <v>0.1621203478685733</v>
      </c>
      <c r="E15" s="11">
        <f t="shared" si="5"/>
        <v>2.6515756491998665</v>
      </c>
      <c r="F15" s="11">
        <f t="shared" si="6"/>
        <v>0.08838585497332889</v>
      </c>
      <c r="G15" s="26">
        <f>G14</f>
        <v>0.01</v>
      </c>
      <c r="H15" s="11">
        <f t="shared" si="2"/>
        <v>0.07697924232087867</v>
      </c>
      <c r="I15" s="11">
        <f t="shared" si="7"/>
        <v>2.1528632593846226</v>
      </c>
      <c r="J15" s="11">
        <f t="shared" si="8"/>
        <v>0.3588105432307705</v>
      </c>
      <c r="K15" s="67">
        <f t="shared" si="3"/>
        <v>0.10048536802340956</v>
      </c>
      <c r="L15" s="11">
        <f t="shared" si="9"/>
        <v>2.3220080794537754</v>
      </c>
      <c r="M15" s="12">
        <f t="shared" si="10"/>
        <v>0.3096010772605034</v>
      </c>
      <c r="O15" s="11">
        <f>O14</f>
        <v>0.01</v>
      </c>
      <c r="P15" s="11">
        <f t="shared" si="4"/>
        <v>0.04</v>
      </c>
      <c r="Q15" s="11">
        <f t="shared" si="11"/>
        <v>0.03</v>
      </c>
    </row>
    <row r="16" spans="1:17" ht="15.75">
      <c r="A16" s="159">
        <v>80</v>
      </c>
      <c r="B16" s="160">
        <f t="shared" si="0"/>
        <v>50</v>
      </c>
      <c r="C16" s="162">
        <f>C14</f>
        <v>0.01</v>
      </c>
      <c r="D16" s="163">
        <f t="shared" si="1"/>
        <v>0.2693074991777379</v>
      </c>
      <c r="E16" s="163">
        <f t="shared" si="5"/>
        <v>4.481808390891681</v>
      </c>
      <c r="F16" s="163">
        <f t="shared" si="6"/>
        <v>0.1493936130297227</v>
      </c>
      <c r="G16" s="162">
        <f>G14</f>
        <v>0.01</v>
      </c>
      <c r="H16" s="163">
        <f t="shared" si="2"/>
        <v>0.12227071358930017</v>
      </c>
      <c r="I16" s="163">
        <f t="shared" si="7"/>
        <v>3.693595845520577</v>
      </c>
      <c r="J16" s="163">
        <f t="shared" si="8"/>
        <v>0.6155993075867628</v>
      </c>
      <c r="K16" s="171">
        <f t="shared" si="3"/>
        <v>0.1628071674674988</v>
      </c>
      <c r="L16" s="163">
        <f t="shared" si="9"/>
        <v>3.9789438702028064</v>
      </c>
      <c r="M16" s="164">
        <f t="shared" si="10"/>
        <v>0.5305258493603742</v>
      </c>
      <c r="O16" s="15">
        <f>O14</f>
        <v>0.01</v>
      </c>
      <c r="P16" s="15">
        <f t="shared" si="4"/>
        <v>0.04</v>
      </c>
      <c r="Q16" s="15">
        <f t="shared" si="11"/>
        <v>0.03</v>
      </c>
    </row>
    <row r="17" spans="1:17" ht="15">
      <c r="A17" s="9">
        <v>60</v>
      </c>
      <c r="B17" s="10">
        <f t="shared" si="0"/>
        <v>30</v>
      </c>
      <c r="C17" s="26">
        <v>0.02</v>
      </c>
      <c r="D17" s="11">
        <f t="shared" si="1"/>
        <v>0</v>
      </c>
      <c r="E17" s="11">
        <f t="shared" si="5"/>
        <v>0</v>
      </c>
      <c r="F17" s="11">
        <f t="shared" si="6"/>
        <v>0</v>
      </c>
      <c r="G17" s="26">
        <v>0.02</v>
      </c>
      <c r="H17" s="11">
        <f t="shared" si="2"/>
        <v>0</v>
      </c>
      <c r="I17" s="11">
        <f t="shared" si="7"/>
        <v>0</v>
      </c>
      <c r="J17" s="11">
        <f t="shared" si="8"/>
        <v>0</v>
      </c>
      <c r="K17" s="67">
        <f t="shared" si="3"/>
        <v>0</v>
      </c>
      <c r="L17" s="11">
        <f t="shared" si="9"/>
        <v>0</v>
      </c>
      <c r="M17" s="12">
        <f t="shared" si="10"/>
        <v>0</v>
      </c>
      <c r="O17" s="11">
        <v>0.02</v>
      </c>
      <c r="P17" s="11">
        <f t="shared" si="4"/>
        <v>0.06</v>
      </c>
      <c r="Q17" s="11">
        <f t="shared" si="11"/>
        <v>0.039999999999999994</v>
      </c>
    </row>
    <row r="18" spans="1:17" ht="15">
      <c r="A18" s="9">
        <v>70</v>
      </c>
      <c r="B18" s="10">
        <f t="shared" si="0"/>
        <v>40</v>
      </c>
      <c r="C18" s="26">
        <f>C17</f>
        <v>0.02</v>
      </c>
      <c r="D18" s="11">
        <f t="shared" si="1"/>
        <v>0.12885124808584153</v>
      </c>
      <c r="E18" s="11">
        <f t="shared" si="5"/>
        <v>2.490206316995545</v>
      </c>
      <c r="F18" s="11">
        <f t="shared" si="6"/>
        <v>0.16601375446636968</v>
      </c>
      <c r="G18" s="26">
        <f>G17</f>
        <v>0.02</v>
      </c>
      <c r="H18" s="11">
        <f t="shared" si="2"/>
        <v>0.10048536802340952</v>
      </c>
      <c r="I18" s="11">
        <f t="shared" si="7"/>
        <v>2.3220080794537754</v>
      </c>
      <c r="J18" s="11">
        <f t="shared" si="8"/>
        <v>0.3870013465756293</v>
      </c>
      <c r="K18" s="67">
        <f t="shared" si="3"/>
        <v>0.0769792423208787</v>
      </c>
      <c r="L18" s="11">
        <f t="shared" si="9"/>
        <v>2.152863259384625</v>
      </c>
      <c r="M18" s="12">
        <f t="shared" si="10"/>
        <v>0.43057265187692495</v>
      </c>
      <c r="O18" s="11">
        <f>O17</f>
        <v>0.02</v>
      </c>
      <c r="P18" s="11">
        <f t="shared" si="4"/>
        <v>0.06</v>
      </c>
      <c r="Q18" s="11">
        <f t="shared" si="11"/>
        <v>0.039999999999999994</v>
      </c>
    </row>
    <row r="19" spans="1:17" ht="15.75">
      <c r="A19" s="13">
        <v>80</v>
      </c>
      <c r="B19" s="14">
        <f t="shared" si="0"/>
        <v>50</v>
      </c>
      <c r="C19" s="28">
        <f>C17</f>
        <v>0.02</v>
      </c>
      <c r="D19" s="15">
        <f t="shared" si="1"/>
        <v>0.21198272070752772</v>
      </c>
      <c r="E19" s="15">
        <f t="shared" si="5"/>
        <v>4.247271441903192</v>
      </c>
      <c r="F19" s="15">
        <f t="shared" si="6"/>
        <v>0.28315142946021277</v>
      </c>
      <c r="G19" s="28">
        <f>G17</f>
        <v>0.02</v>
      </c>
      <c r="H19" s="15">
        <f t="shared" si="2"/>
        <v>0.16280716746749874</v>
      </c>
      <c r="I19" s="15">
        <f t="shared" si="7"/>
        <v>3.9789438702028055</v>
      </c>
      <c r="J19" s="15">
        <f t="shared" si="8"/>
        <v>0.6631573117004677</v>
      </c>
      <c r="K19" s="68">
        <f t="shared" si="3"/>
        <v>0.12227071358930021</v>
      </c>
      <c r="L19" s="15">
        <f t="shared" si="9"/>
        <v>3.693595845520579</v>
      </c>
      <c r="M19" s="16">
        <f t="shared" si="10"/>
        <v>0.7387191691041158</v>
      </c>
      <c r="O19" s="15">
        <f>O17</f>
        <v>0.02</v>
      </c>
      <c r="P19" s="15">
        <f t="shared" si="4"/>
        <v>0.06</v>
      </c>
      <c r="Q19" s="15">
        <f t="shared" si="11"/>
        <v>0.039999999999999994</v>
      </c>
    </row>
    <row r="20" spans="1:17" ht="15">
      <c r="A20" s="152">
        <v>60</v>
      </c>
      <c r="B20" s="153">
        <f t="shared" si="0"/>
        <v>30</v>
      </c>
      <c r="C20" s="165">
        <v>0.03</v>
      </c>
      <c r="D20" s="168">
        <f t="shared" si="1"/>
        <v>0</v>
      </c>
      <c r="E20" s="168">
        <f t="shared" si="5"/>
        <v>0</v>
      </c>
      <c r="F20" s="168">
        <f t="shared" si="6"/>
        <v>0</v>
      </c>
      <c r="G20" s="165">
        <v>0.03</v>
      </c>
      <c r="H20" s="168">
        <f t="shared" si="2"/>
        <v>0</v>
      </c>
      <c r="I20" s="168">
        <f t="shared" si="7"/>
        <v>0</v>
      </c>
      <c r="J20" s="168">
        <f t="shared" si="8"/>
        <v>0</v>
      </c>
      <c r="K20" s="169">
        <f t="shared" si="3"/>
        <v>0</v>
      </c>
      <c r="L20" s="168">
        <f t="shared" si="9"/>
        <v>0</v>
      </c>
      <c r="M20" s="170">
        <f t="shared" si="10"/>
        <v>0</v>
      </c>
      <c r="O20" s="11">
        <v>0.03</v>
      </c>
      <c r="P20" s="11">
        <f t="shared" si="4"/>
        <v>0.08</v>
      </c>
      <c r="Q20" s="11">
        <f t="shared" si="11"/>
        <v>0.05</v>
      </c>
    </row>
    <row r="21" spans="1:17" ht="15">
      <c r="A21" s="9">
        <v>70</v>
      </c>
      <c r="B21" s="10">
        <f t="shared" si="0"/>
        <v>40</v>
      </c>
      <c r="C21" s="26">
        <f>C20</f>
        <v>0.03</v>
      </c>
      <c r="D21" s="11">
        <f t="shared" si="1"/>
        <v>0.10048536802340956</v>
      </c>
      <c r="E21" s="11">
        <f t="shared" si="5"/>
        <v>2.3220080794537754</v>
      </c>
      <c r="F21" s="11">
        <f t="shared" si="6"/>
        <v>0.23220080794537754</v>
      </c>
      <c r="G21" s="26">
        <f>G20</f>
        <v>0.03</v>
      </c>
      <c r="H21" s="11">
        <f t="shared" si="2"/>
        <v>0.12885124808584153</v>
      </c>
      <c r="I21" s="11">
        <f t="shared" si="7"/>
        <v>2.490206316995548</v>
      </c>
      <c r="J21" s="11">
        <f t="shared" si="8"/>
        <v>0.41503438616592475</v>
      </c>
      <c r="K21" s="67">
        <f t="shared" si="3"/>
        <v>0.05801221739799787</v>
      </c>
      <c r="L21" s="11">
        <f t="shared" si="9"/>
        <v>1.9878289564280285</v>
      </c>
      <c r="M21" s="12">
        <f t="shared" si="10"/>
        <v>0.530087721714141</v>
      </c>
      <c r="O21" s="11">
        <f>O20</f>
        <v>0.03</v>
      </c>
      <c r="P21" s="11">
        <f t="shared" si="4"/>
        <v>0.08</v>
      </c>
      <c r="Q21" s="11">
        <f t="shared" si="11"/>
        <v>0.05</v>
      </c>
    </row>
    <row r="22" spans="1:17" ht="15.75">
      <c r="A22" s="159">
        <v>80</v>
      </c>
      <c r="B22" s="160">
        <f t="shared" si="0"/>
        <v>50</v>
      </c>
      <c r="C22" s="162">
        <f>C20</f>
        <v>0.03</v>
      </c>
      <c r="D22" s="163">
        <f t="shared" si="1"/>
        <v>0.1628071674674988</v>
      </c>
      <c r="E22" s="163">
        <f t="shared" si="5"/>
        <v>3.9789438702028064</v>
      </c>
      <c r="F22" s="163">
        <f t="shared" si="6"/>
        <v>0.3978943870202806</v>
      </c>
      <c r="G22" s="162">
        <f>G20</f>
        <v>0.03</v>
      </c>
      <c r="H22" s="163">
        <f t="shared" si="2"/>
        <v>0.21198272070752774</v>
      </c>
      <c r="I22" s="163">
        <f t="shared" si="7"/>
        <v>4.247271441903196</v>
      </c>
      <c r="J22" s="163">
        <f t="shared" si="8"/>
        <v>0.7078785736505329</v>
      </c>
      <c r="K22" s="171">
        <f t="shared" si="3"/>
        <v>0.09003057317038046</v>
      </c>
      <c r="L22" s="163">
        <f t="shared" si="9"/>
        <v>3.4062386422813398</v>
      </c>
      <c r="M22" s="164">
        <f t="shared" si="10"/>
        <v>0.9083303046083573</v>
      </c>
      <c r="O22" s="15">
        <f>O20</f>
        <v>0.03</v>
      </c>
      <c r="P22" s="15">
        <f t="shared" si="4"/>
        <v>0.08</v>
      </c>
      <c r="Q22" s="15">
        <f t="shared" si="11"/>
        <v>0.05</v>
      </c>
    </row>
    <row r="23" spans="1:17" ht="15">
      <c r="A23" s="9">
        <v>60</v>
      </c>
      <c r="B23" s="10">
        <f t="shared" si="0"/>
        <v>30</v>
      </c>
      <c r="C23" s="26">
        <v>0.04</v>
      </c>
      <c r="D23" s="11">
        <f t="shared" si="1"/>
        <v>0</v>
      </c>
      <c r="E23" s="11">
        <f t="shared" si="5"/>
        <v>0</v>
      </c>
      <c r="F23" s="11">
        <f t="shared" si="6"/>
        <v>0</v>
      </c>
      <c r="G23" s="26">
        <v>0.04</v>
      </c>
      <c r="H23" s="11">
        <f t="shared" si="2"/>
        <v>0</v>
      </c>
      <c r="I23" s="11">
        <f t="shared" si="7"/>
        <v>0</v>
      </c>
      <c r="J23" s="11">
        <f t="shared" si="8"/>
        <v>0</v>
      </c>
      <c r="K23" s="67">
        <f t="shared" si="3"/>
        <v>0</v>
      </c>
      <c r="L23" s="11">
        <f t="shared" si="9"/>
        <v>0</v>
      </c>
      <c r="M23" s="12">
        <f t="shared" si="10"/>
        <v>0</v>
      </c>
      <c r="O23" s="11">
        <v>0.04</v>
      </c>
      <c r="P23" s="11">
        <f t="shared" si="4"/>
        <v>0.1</v>
      </c>
      <c r="Q23" s="11">
        <f t="shared" si="11"/>
        <v>0.060000000000000005</v>
      </c>
    </row>
    <row r="24" spans="1:17" ht="15">
      <c r="A24" s="9">
        <v>70</v>
      </c>
      <c r="B24" s="10">
        <f t="shared" si="0"/>
        <v>40</v>
      </c>
      <c r="C24" s="26">
        <f>C23</f>
        <v>0.04</v>
      </c>
      <c r="D24" s="11">
        <f t="shared" si="1"/>
        <v>0.07697924232087867</v>
      </c>
      <c r="E24" s="11">
        <f t="shared" si="5"/>
        <v>2.1528632593846226</v>
      </c>
      <c r="F24" s="11">
        <f t="shared" si="6"/>
        <v>0.2870484345846164</v>
      </c>
      <c r="G24" s="26">
        <f>G23</f>
        <v>0.04</v>
      </c>
      <c r="H24" s="11">
        <f t="shared" si="2"/>
        <v>0.1621203478685733</v>
      </c>
      <c r="I24" s="11">
        <f t="shared" si="7"/>
        <v>2.6515756491998697</v>
      </c>
      <c r="J24" s="11">
        <f t="shared" si="8"/>
        <v>0.441929274866645</v>
      </c>
      <c r="K24" s="67">
        <f t="shared" si="3"/>
        <v>0.043075487145016536</v>
      </c>
      <c r="L24" s="11">
        <f t="shared" si="9"/>
        <v>1.8307859833081408</v>
      </c>
      <c r="M24" s="12">
        <f t="shared" si="10"/>
        <v>0.610261994436047</v>
      </c>
      <c r="O24" s="11">
        <f>O23</f>
        <v>0.04</v>
      </c>
      <c r="P24" s="11">
        <f t="shared" si="4"/>
        <v>0.1</v>
      </c>
      <c r="Q24" s="11">
        <f t="shared" si="11"/>
        <v>0.060000000000000005</v>
      </c>
    </row>
    <row r="25" spans="1:17" ht="15.75">
      <c r="A25" s="13">
        <v>80</v>
      </c>
      <c r="B25" s="14">
        <f t="shared" si="0"/>
        <v>50</v>
      </c>
      <c r="C25" s="28">
        <f>C23</f>
        <v>0.04</v>
      </c>
      <c r="D25" s="15">
        <f t="shared" si="1"/>
        <v>0.12227071358930017</v>
      </c>
      <c r="E25" s="15">
        <f t="shared" si="5"/>
        <v>3.693595845520577</v>
      </c>
      <c r="F25" s="15">
        <f t="shared" si="6"/>
        <v>0.49247944606941024</v>
      </c>
      <c r="G25" s="28">
        <f>G23</f>
        <v>0.04</v>
      </c>
      <c r="H25" s="15">
        <f t="shared" si="2"/>
        <v>0.2693074991777379</v>
      </c>
      <c r="I25" s="15">
        <f t="shared" si="7"/>
        <v>4.481808390891684</v>
      </c>
      <c r="J25" s="15">
        <f t="shared" si="8"/>
        <v>0.7469680651486141</v>
      </c>
      <c r="K25" s="68">
        <f t="shared" si="3"/>
        <v>0.06517505598226613</v>
      </c>
      <c r="L25" s="15">
        <f t="shared" si="9"/>
        <v>3.128513235762448</v>
      </c>
      <c r="M25" s="16">
        <f t="shared" si="10"/>
        <v>1.0428377452541495</v>
      </c>
      <c r="O25" s="15">
        <f>O23</f>
        <v>0.04</v>
      </c>
      <c r="P25" s="15">
        <f t="shared" si="4"/>
        <v>0.1</v>
      </c>
      <c r="Q25" s="15">
        <f t="shared" si="11"/>
        <v>0.060000000000000005</v>
      </c>
    </row>
    <row r="26" spans="1:17" ht="15">
      <c r="A26" s="152">
        <v>60</v>
      </c>
      <c r="B26" s="153">
        <f t="shared" si="0"/>
        <v>30</v>
      </c>
      <c r="C26" s="165">
        <v>0.04999</v>
      </c>
      <c r="D26" s="168">
        <f t="shared" si="1"/>
        <v>0</v>
      </c>
      <c r="E26" s="168">
        <f t="shared" si="5"/>
        <v>0</v>
      </c>
      <c r="F26" s="168">
        <f t="shared" si="6"/>
        <v>0</v>
      </c>
      <c r="G26" s="165">
        <v>0.04999</v>
      </c>
      <c r="H26" s="168">
        <f t="shared" si="2"/>
        <v>0</v>
      </c>
      <c r="I26" s="168">
        <f t="shared" si="7"/>
        <v>0</v>
      </c>
      <c r="J26" s="168">
        <f t="shared" si="8"/>
        <v>0</v>
      </c>
      <c r="K26" s="169">
        <f t="shared" si="3"/>
        <v>0</v>
      </c>
      <c r="L26" s="168">
        <f t="shared" si="9"/>
        <v>0</v>
      </c>
      <c r="M26" s="170">
        <f t="shared" si="10"/>
        <v>0</v>
      </c>
      <c r="O26" s="11">
        <v>0.05</v>
      </c>
      <c r="P26" s="11">
        <f t="shared" si="4"/>
        <v>0.12000000000000001</v>
      </c>
      <c r="Q26" s="11">
        <f t="shared" si="11"/>
        <v>0.07</v>
      </c>
    </row>
    <row r="27" spans="1:17" ht="15">
      <c r="A27" s="9">
        <v>70</v>
      </c>
      <c r="B27" s="10">
        <f t="shared" si="0"/>
        <v>40</v>
      </c>
      <c r="C27" s="26">
        <f>C26</f>
        <v>0.04999</v>
      </c>
      <c r="D27" s="11">
        <f t="shared" si="1"/>
        <v>0.05802907564053841</v>
      </c>
      <c r="E27" s="11">
        <f t="shared" si="5"/>
        <v>1.9879905391402888</v>
      </c>
      <c r="F27" s="11">
        <f t="shared" si="6"/>
        <v>0.3312654901720768</v>
      </c>
      <c r="G27" s="26">
        <f>G26</f>
        <v>0.04999</v>
      </c>
      <c r="H27" s="11">
        <f t="shared" si="2"/>
        <v>0.19996000200009892</v>
      </c>
      <c r="I27" s="11">
        <f t="shared" si="7"/>
        <v>2.7998599883956</v>
      </c>
      <c r="J27" s="11">
        <f t="shared" si="8"/>
        <v>0.4666433313992668</v>
      </c>
      <c r="K27" s="67">
        <f t="shared" si="3"/>
        <v>0.031565886376887675</v>
      </c>
      <c r="L27" s="11">
        <f t="shared" si="9"/>
        <v>1.684341136231123</v>
      </c>
      <c r="M27" s="12">
        <f t="shared" si="10"/>
        <v>0.6737364544924492</v>
      </c>
      <c r="O27" s="11">
        <f>O26</f>
        <v>0.05</v>
      </c>
      <c r="P27" s="11">
        <f t="shared" si="4"/>
        <v>0.12000000000000001</v>
      </c>
      <c r="Q27" s="11">
        <f t="shared" si="11"/>
        <v>0.07</v>
      </c>
    </row>
    <row r="28" spans="1:17" ht="15.75">
      <c r="A28" s="159">
        <v>80</v>
      </c>
      <c r="B28" s="160">
        <f t="shared" si="0"/>
        <v>50</v>
      </c>
      <c r="C28" s="162">
        <f>C26</f>
        <v>0.04999</v>
      </c>
      <c r="D28" s="163">
        <f t="shared" si="1"/>
        <v>0.0900589402929366</v>
      </c>
      <c r="E28" s="163">
        <f t="shared" si="5"/>
        <v>3.406522807126979</v>
      </c>
      <c r="F28" s="163">
        <f t="shared" si="6"/>
        <v>0.5676402504275923</v>
      </c>
      <c r="G28" s="162">
        <f>G26</f>
        <v>0.04999</v>
      </c>
      <c r="H28" s="163">
        <f t="shared" si="2"/>
        <v>0.3332666688893933</v>
      </c>
      <c r="I28" s="163">
        <f t="shared" si="7"/>
        <v>4.666511080914032</v>
      </c>
      <c r="J28" s="163">
        <f t="shared" si="8"/>
        <v>0.7777518468190054</v>
      </c>
      <c r="K28" s="171">
        <f t="shared" si="3"/>
        <v>0.04651195946598334</v>
      </c>
      <c r="L28" s="163">
        <f t="shared" si="9"/>
        <v>2.8682137386734965</v>
      </c>
      <c r="M28" s="164">
        <f t="shared" si="10"/>
        <v>1.1472854954693987</v>
      </c>
      <c r="O28" s="15">
        <f>O26</f>
        <v>0.05</v>
      </c>
      <c r="P28" s="15">
        <f t="shared" si="4"/>
        <v>0.12000000000000001</v>
      </c>
      <c r="Q28" s="15">
        <f t="shared" si="11"/>
        <v>0.07</v>
      </c>
    </row>
    <row r="29" spans="1:17" ht="15">
      <c r="A29" s="9">
        <v>60</v>
      </c>
      <c r="B29" s="10">
        <f t="shared" si="0"/>
        <v>30</v>
      </c>
      <c r="C29" s="26">
        <v>0.1</v>
      </c>
      <c r="D29" s="11">
        <f t="shared" si="1"/>
        <v>0</v>
      </c>
      <c r="E29" s="11">
        <f t="shared" si="5"/>
        <v>0</v>
      </c>
      <c r="F29" s="11">
        <f t="shared" si="6"/>
        <v>0</v>
      </c>
      <c r="G29" s="26">
        <v>0.1</v>
      </c>
      <c r="H29" s="11">
        <f t="shared" si="2"/>
        <v>0</v>
      </c>
      <c r="I29" s="11">
        <f t="shared" si="7"/>
        <v>0</v>
      </c>
      <c r="J29" s="11">
        <f t="shared" si="8"/>
        <v>0</v>
      </c>
      <c r="K29" s="67">
        <f t="shared" si="3"/>
        <v>0</v>
      </c>
      <c r="L29" s="11">
        <f t="shared" si="9"/>
        <v>0</v>
      </c>
      <c r="M29" s="12">
        <f t="shared" si="10"/>
        <v>0</v>
      </c>
      <c r="O29" s="11">
        <v>0.1</v>
      </c>
      <c r="P29" s="11">
        <f t="shared" si="4"/>
        <v>0.22</v>
      </c>
      <c r="Q29" s="11">
        <f>P29-O29</f>
        <v>0.12</v>
      </c>
    </row>
    <row r="30" spans="1:17" ht="15">
      <c r="A30" s="9">
        <v>70</v>
      </c>
      <c r="B30" s="10">
        <f t="shared" si="0"/>
        <v>40</v>
      </c>
      <c r="C30" s="26">
        <f>C29</f>
        <v>0.1</v>
      </c>
      <c r="D30" s="11">
        <f t="shared" si="1"/>
        <v>0.011656230956039607</v>
      </c>
      <c r="E30" s="11">
        <f t="shared" si="5"/>
        <v>1.3184063833077224</v>
      </c>
      <c r="F30" s="11">
        <f t="shared" si="6"/>
        <v>0.43946879443590753</v>
      </c>
      <c r="G30" s="26">
        <f>G29</f>
        <v>0.1</v>
      </c>
      <c r="H30" s="11">
        <f t="shared" si="2"/>
        <v>0.428655528777167</v>
      </c>
      <c r="I30" s="11">
        <f t="shared" si="7"/>
        <v>3.2011774028803366</v>
      </c>
      <c r="J30" s="11">
        <f t="shared" si="8"/>
        <v>0.5335295671467228</v>
      </c>
      <c r="K30" s="67">
        <f t="shared" si="3"/>
        <v>0.005765285586550436</v>
      </c>
      <c r="L30" s="11">
        <f t="shared" si="9"/>
        <v>1.133035834078456</v>
      </c>
      <c r="M30" s="12">
        <f t="shared" si="10"/>
        <v>0.8308929449908679</v>
      </c>
      <c r="O30" s="11">
        <v>0.1</v>
      </c>
      <c r="P30" s="11">
        <f t="shared" si="4"/>
        <v>0.22</v>
      </c>
      <c r="Q30" s="11">
        <f>P30-O30</f>
        <v>0.12</v>
      </c>
    </row>
    <row r="31" spans="1:17" ht="16.5" thickBot="1">
      <c r="A31" s="17">
        <v>80</v>
      </c>
      <c r="B31" s="18">
        <f t="shared" si="0"/>
        <v>50</v>
      </c>
      <c r="C31" s="30">
        <f>C29</f>
        <v>0.1</v>
      </c>
      <c r="D31" s="19">
        <f t="shared" si="1"/>
        <v>0.01587623997646677</v>
      </c>
      <c r="E31" s="19">
        <f t="shared" si="5"/>
        <v>2.2221996534980666</v>
      </c>
      <c r="F31" s="19">
        <f t="shared" si="6"/>
        <v>0.740733217832689</v>
      </c>
      <c r="G31" s="30">
        <f>G29</f>
        <v>0.1</v>
      </c>
      <c r="H31" s="19">
        <f t="shared" si="2"/>
        <v>0.6652409557748219</v>
      </c>
      <c r="I31" s="19">
        <f t="shared" si="7"/>
        <v>4.646706714180838</v>
      </c>
      <c r="J31" s="19">
        <f t="shared" si="8"/>
        <v>0.7744511190301397</v>
      </c>
      <c r="K31" s="69">
        <f t="shared" si="3"/>
        <v>0.007488752236785785</v>
      </c>
      <c r="L31" s="19">
        <f t="shared" si="9"/>
        <v>1.9007600563965241</v>
      </c>
      <c r="M31" s="20">
        <f t="shared" si="10"/>
        <v>1.3938907080241179</v>
      </c>
      <c r="O31" s="15">
        <f>O29</f>
        <v>0.1</v>
      </c>
      <c r="P31" s="15">
        <f t="shared" si="4"/>
        <v>0.22</v>
      </c>
      <c r="Q31" s="15">
        <f>P31-O31</f>
        <v>0.12</v>
      </c>
    </row>
    <row r="32" ht="13.5" thickTop="1"/>
  </sheetData>
  <mergeCells count="17">
    <mergeCell ref="A9:A10"/>
    <mergeCell ref="B9:B10"/>
    <mergeCell ref="G9:G10"/>
    <mergeCell ref="H9:H10"/>
    <mergeCell ref="F9:F10"/>
    <mergeCell ref="D9:D10"/>
    <mergeCell ref="C9:C10"/>
    <mergeCell ref="K9:K10"/>
    <mergeCell ref="L9:L10"/>
    <mergeCell ref="M9:M10"/>
    <mergeCell ref="A3:M3"/>
    <mergeCell ref="C5:F8"/>
    <mergeCell ref="G5:I8"/>
    <mergeCell ref="K5:L8"/>
    <mergeCell ref="I9:I10"/>
    <mergeCell ref="J9:J10"/>
    <mergeCell ref="E9:E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2"/>
  <legacyDrawing r:id="rId11"/>
  <oleObjects>
    <oleObject progId="Equation.3" shapeId="14102241" r:id="rId1"/>
    <oleObject progId="Equation.3" shapeId="17473578" r:id="rId2"/>
    <oleObject progId="Equation.3" shapeId="17669564" r:id="rId3"/>
    <oleObject progId="Equation.3" shapeId="17669566" r:id="rId4"/>
    <oleObject progId="Equation.3" shapeId="20043307" r:id="rId5"/>
    <oleObject progId="Equation.3" shapeId="20048020" r:id="rId6"/>
    <oleObject progId="Equation.3" shapeId="61689487" r:id="rId7"/>
    <oleObject progId="Equation.3" shapeId="61692012" r:id="rId8"/>
    <oleObject progId="Equation.3" shapeId="61693503" r:id="rId9"/>
    <oleObject progId="Equation.3" shapeId="61693504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pane xSplit="1" ySplit="9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M30"/>
    </sheetView>
  </sheetViews>
  <sheetFormatPr defaultColWidth="11.421875" defaultRowHeight="12.75"/>
  <cols>
    <col min="1" max="13" width="9.7109375" style="0" customWidth="1"/>
    <col min="14" max="14" width="10.7109375" style="0" customWidth="1"/>
  </cols>
  <sheetData>
    <row r="1" ht="12.75">
      <c r="A1" s="1"/>
    </row>
    <row r="2" ht="13.5" thickBot="1"/>
    <row r="3" spans="1:14" ht="60" customHeight="1" thickTop="1">
      <c r="A3" s="98" t="s">
        <v>3</v>
      </c>
      <c r="B3" s="90"/>
      <c r="C3" s="90"/>
      <c r="D3" s="90"/>
      <c r="E3" s="90"/>
      <c r="F3" s="90"/>
      <c r="G3" s="91"/>
      <c r="H3" s="91"/>
      <c r="I3" s="91"/>
      <c r="J3" s="91"/>
      <c r="K3" s="91"/>
      <c r="L3" s="91"/>
      <c r="M3" s="99"/>
      <c r="N3" s="70"/>
    </row>
    <row r="4" spans="1:13" ht="15">
      <c r="A4" s="2"/>
      <c r="B4" s="3"/>
      <c r="C4" s="3"/>
      <c r="D4" s="3"/>
      <c r="E4" s="3"/>
      <c r="F4" s="3"/>
      <c r="G4" s="70" t="s">
        <v>51</v>
      </c>
      <c r="H4" s="4"/>
      <c r="I4" s="4"/>
      <c r="J4" s="4"/>
      <c r="K4" s="4"/>
      <c r="L4" s="4"/>
      <c r="M4" s="5"/>
    </row>
    <row r="5" spans="1:13" ht="18" customHeight="1">
      <c r="A5" s="46" t="s">
        <v>18</v>
      </c>
      <c r="B5" s="71" t="s">
        <v>19</v>
      </c>
      <c r="C5" s="43" t="s">
        <v>17</v>
      </c>
      <c r="D5" s="134" t="s">
        <v>50</v>
      </c>
      <c r="E5" s="137"/>
      <c r="F5" s="137"/>
      <c r="G5" s="137"/>
      <c r="H5" s="137"/>
      <c r="I5" s="137"/>
      <c r="J5" s="137"/>
      <c r="K5" s="137"/>
      <c r="L5" s="137"/>
      <c r="M5" s="138"/>
    </row>
    <row r="6" spans="1:13" ht="18" customHeight="1">
      <c r="A6" s="47">
        <v>0.3</v>
      </c>
      <c r="B6" s="41">
        <v>0.05</v>
      </c>
      <c r="C6" s="11">
        <f>A6/B6</f>
        <v>5.999999999999999</v>
      </c>
      <c r="D6" s="139"/>
      <c r="E6" s="140"/>
      <c r="F6" s="141"/>
      <c r="G6" s="141"/>
      <c r="H6" s="141"/>
      <c r="I6" s="141"/>
      <c r="J6" s="141"/>
      <c r="K6" s="141"/>
      <c r="L6" s="141"/>
      <c r="M6" s="142"/>
    </row>
    <row r="7" spans="1:13" ht="15">
      <c r="A7" s="48" t="s">
        <v>15</v>
      </c>
      <c r="B7" s="40" t="s">
        <v>16</v>
      </c>
      <c r="C7" s="38" t="s">
        <v>33</v>
      </c>
      <c r="D7" s="139"/>
      <c r="E7" s="140"/>
      <c r="F7" s="141"/>
      <c r="G7" s="141"/>
      <c r="H7" s="141"/>
      <c r="I7" s="141"/>
      <c r="J7" s="141"/>
      <c r="K7" s="141"/>
      <c r="L7" s="141"/>
      <c r="M7" s="142"/>
    </row>
    <row r="8" spans="1:13" ht="15">
      <c r="A8" s="49">
        <v>20</v>
      </c>
      <c r="B8" s="42">
        <v>30</v>
      </c>
      <c r="C8" s="39">
        <v>60</v>
      </c>
      <c r="D8" s="25" t="s">
        <v>29</v>
      </c>
      <c r="E8" s="34">
        <v>1</v>
      </c>
      <c r="F8" s="25" t="s">
        <v>29</v>
      </c>
      <c r="G8" s="34">
        <v>0.8</v>
      </c>
      <c r="H8" s="25" t="s">
        <v>29</v>
      </c>
      <c r="I8" s="34">
        <v>0.5</v>
      </c>
      <c r="J8" s="25" t="s">
        <v>29</v>
      </c>
      <c r="K8" s="34">
        <v>0.3</v>
      </c>
      <c r="L8" s="25" t="s">
        <v>29</v>
      </c>
      <c r="M8" s="12">
        <v>0</v>
      </c>
    </row>
    <row r="9" spans="1:13" ht="19.5">
      <c r="A9" s="6" t="s">
        <v>20</v>
      </c>
      <c r="B9" s="7" t="s">
        <v>21</v>
      </c>
      <c r="C9" s="36" t="s">
        <v>22</v>
      </c>
      <c r="D9" s="37" t="s">
        <v>61</v>
      </c>
      <c r="E9" s="38" t="s">
        <v>36</v>
      </c>
      <c r="F9" s="37" t="s">
        <v>61</v>
      </c>
      <c r="G9" s="38" t="s">
        <v>36</v>
      </c>
      <c r="H9" s="37" t="s">
        <v>61</v>
      </c>
      <c r="I9" s="38" t="s">
        <v>36</v>
      </c>
      <c r="J9" s="37" t="s">
        <v>61</v>
      </c>
      <c r="K9" s="38" t="s">
        <v>36</v>
      </c>
      <c r="L9" s="37" t="s">
        <v>61</v>
      </c>
      <c r="M9" s="45" t="s">
        <v>36</v>
      </c>
    </row>
    <row r="10" spans="1:13" ht="15">
      <c r="A10" s="9">
        <v>60</v>
      </c>
      <c r="B10" s="10">
        <f aca="true" t="shared" si="0" ref="B10:B30">A10-B$8</f>
        <v>30</v>
      </c>
      <c r="C10" s="34">
        <v>1E-06</v>
      </c>
      <c r="D10" s="35">
        <f>(($A10-$A$8)/$B$8)*(1-(1-E$8)*TableE3!$J11)</f>
        <v>1.3333333333333333</v>
      </c>
      <c r="E10" s="24">
        <f>$C$6*D10/($A10-$A$8)</f>
        <v>0.19999999999999996</v>
      </c>
      <c r="F10" s="35">
        <f>(($A10-$A$8)/$B$8)*(1-(1-G$8)*TableE3!$J11)</f>
        <v>1.3333333333333333</v>
      </c>
      <c r="G10" s="24">
        <f>$C$6*F10/($A10-$A$8)</f>
        <v>0.19999999999999996</v>
      </c>
      <c r="H10" s="35">
        <f>(($A10-$A$8)/$B$8)*(1-(1-I$8)*TableE3!$J11)</f>
        <v>1.3333333333333333</v>
      </c>
      <c r="I10" s="24">
        <f aca="true" t="shared" si="1" ref="I10:I30">$C$6*H10/($A10-$A$8)</f>
        <v>0.19999999999999996</v>
      </c>
      <c r="J10" s="35">
        <f>(($A10-$A$8)/$B$8)*(1-(1-K$8)*TableE3!$J11)</f>
        <v>1.3333333333333333</v>
      </c>
      <c r="K10" s="24">
        <f aca="true" t="shared" si="2" ref="K10:K30">$C$6*J10/($A10-$A$8)</f>
        <v>0.19999999999999996</v>
      </c>
      <c r="L10" s="35">
        <f>(($A10-$A$8)/$B$8)*(1-(1-M$8)*TableE3!$J11)</f>
        <v>1.3333333333333333</v>
      </c>
      <c r="M10" s="32">
        <f aca="true" t="shared" si="3" ref="M10:M30">$C$6*L10/($A10-$A$8)</f>
        <v>0.19999999999999996</v>
      </c>
    </row>
    <row r="11" spans="1:13" ht="15">
      <c r="A11" s="144">
        <v>70</v>
      </c>
      <c r="B11" s="145">
        <f t="shared" si="0"/>
        <v>40</v>
      </c>
      <c r="C11" s="146">
        <v>1E-06</v>
      </c>
      <c r="D11" s="147">
        <f>(($A11-$A$8)/$B$8)*(1-(1-E$8)*TableE3!$J12)</f>
        <v>1.6666666666666667</v>
      </c>
      <c r="E11" s="148">
        <f aca="true" t="shared" si="4" ref="E11:G30">$C$6*D11/($A11-$A$8)</f>
        <v>0.19999999999999996</v>
      </c>
      <c r="F11" s="147">
        <f>(($A11-$A$8)/$B$8)*(1-(1-G$8)*TableE3!$J12)</f>
        <v>1.556230826981399</v>
      </c>
      <c r="G11" s="148">
        <f t="shared" si="4"/>
        <v>0.18674769923776782</v>
      </c>
      <c r="H11" s="147">
        <f>(($A11-$A$8)/$B$8)*(1-(1-I$8)*TableE3!$J12)</f>
        <v>1.3905770674534972</v>
      </c>
      <c r="I11" s="148">
        <f t="shared" si="1"/>
        <v>0.16686924809441966</v>
      </c>
      <c r="J11" s="147">
        <f>(($A11-$A$8)/$B$8)*(1-(1-K$8)*TableE3!$J12)</f>
        <v>1.2801412277682294</v>
      </c>
      <c r="K11" s="148">
        <f t="shared" si="2"/>
        <v>0.1536169473321875</v>
      </c>
      <c r="L11" s="147">
        <f>(($A11-$A$8)/$B$8)*(1-(1-M$8)*TableE3!$J12)</f>
        <v>1.1144874682403276</v>
      </c>
      <c r="M11" s="150">
        <f t="shared" si="3"/>
        <v>0.1337384961888393</v>
      </c>
    </row>
    <row r="12" spans="1:13" ht="15.75">
      <c r="A12" s="13">
        <v>80</v>
      </c>
      <c r="B12" s="14">
        <f t="shared" si="0"/>
        <v>50</v>
      </c>
      <c r="C12" s="29">
        <v>1E-06</v>
      </c>
      <c r="D12" s="28">
        <f>(($A12-$A$8)/$B$8)*(1-(1-E$8)*TableE3!$J13)</f>
        <v>2</v>
      </c>
      <c r="E12" s="15">
        <f t="shared" si="4"/>
        <v>0.19999999999999998</v>
      </c>
      <c r="F12" s="28">
        <f>(($A12-$A$8)/$B$8)*(1-(1-G$8)*TableE3!$J13)</f>
        <v>1.7729155294454813</v>
      </c>
      <c r="G12" s="15">
        <f t="shared" si="4"/>
        <v>0.1772915529445481</v>
      </c>
      <c r="H12" s="28">
        <f>(($A12-$A$8)/$B$8)*(1-(1-I$8)*TableE3!$J13)</f>
        <v>1.4322888236137032</v>
      </c>
      <c r="I12" s="15">
        <f t="shared" si="1"/>
        <v>0.1432288823613703</v>
      </c>
      <c r="J12" s="28">
        <f>(($A12-$A$8)/$B$8)*(1-(1-K$8)*TableE3!$J13)</f>
        <v>1.2052043530591847</v>
      </c>
      <c r="K12" s="15">
        <f t="shared" si="2"/>
        <v>0.12052043530591845</v>
      </c>
      <c r="L12" s="28">
        <f>(($A12-$A$8)/$B$8)*(1-(1-M$8)*TableE3!$J13)</f>
        <v>0.8645776472274065</v>
      </c>
      <c r="M12" s="16">
        <f t="shared" si="3"/>
        <v>0.08645776472274064</v>
      </c>
    </row>
    <row r="13" spans="1:13" ht="15">
      <c r="A13" s="152">
        <v>60</v>
      </c>
      <c r="B13" s="153">
        <f t="shared" si="0"/>
        <v>30</v>
      </c>
      <c r="C13" s="154">
        <v>0.01</v>
      </c>
      <c r="D13" s="155">
        <f>(($A13-$A$8)/$B$8)*(1-(1-E$8)*TableE3!$J14)</f>
        <v>1.3333333333333333</v>
      </c>
      <c r="E13" s="156">
        <f t="shared" si="4"/>
        <v>0.19999999999999996</v>
      </c>
      <c r="F13" s="155">
        <f>(($A13-$A$8)/$B$8)*(1-(1-G$8)*TableE3!$J14)</f>
        <v>1.3333333333333333</v>
      </c>
      <c r="G13" s="156">
        <f t="shared" si="4"/>
        <v>0.19999999999999996</v>
      </c>
      <c r="H13" s="155">
        <f>(($A13-$A$8)/$B$8)*(1-(1-I$8)*TableE3!$J14)</f>
        <v>1.3333333333333333</v>
      </c>
      <c r="I13" s="156">
        <f t="shared" si="1"/>
        <v>0.19999999999999996</v>
      </c>
      <c r="J13" s="155">
        <f>(($A13-$A$8)/$B$8)*(1-(1-K$8)*TableE3!$J14)</f>
        <v>1.3333333333333333</v>
      </c>
      <c r="K13" s="156">
        <f t="shared" si="2"/>
        <v>0.19999999999999996</v>
      </c>
      <c r="L13" s="155">
        <f>(($A13-$A$8)/$B$8)*(1-(1-M$8)*TableE3!$J14)</f>
        <v>1.3333333333333333</v>
      </c>
      <c r="M13" s="158">
        <f t="shared" si="3"/>
        <v>0.19999999999999996</v>
      </c>
    </row>
    <row r="14" spans="1:13" ht="15">
      <c r="A14" s="9">
        <v>70</v>
      </c>
      <c r="B14" s="10">
        <f t="shared" si="0"/>
        <v>40</v>
      </c>
      <c r="C14" s="34">
        <f>C13</f>
        <v>0.01</v>
      </c>
      <c r="D14" s="35">
        <f>(($A14-$A$8)/$B$8)*(1-(1-E$8)*TableE3!$J15)</f>
        <v>1.6666666666666667</v>
      </c>
      <c r="E14" s="24">
        <f t="shared" si="4"/>
        <v>0.19999999999999996</v>
      </c>
      <c r="F14" s="35">
        <f>(($A14-$A$8)/$B$8)*(1-(1-G$8)*TableE3!$J15)</f>
        <v>1.54706315225641</v>
      </c>
      <c r="G14" s="24">
        <f t="shared" si="4"/>
        <v>0.18564757827076916</v>
      </c>
      <c r="H14" s="35">
        <f>(($A14-$A$8)/$B$8)*(1-(1-I$8)*TableE3!$J15)</f>
        <v>1.3676578806410247</v>
      </c>
      <c r="I14" s="24">
        <f t="shared" si="1"/>
        <v>0.16411894567692292</v>
      </c>
      <c r="J14" s="35">
        <f>(($A14-$A$8)/$B$8)*(1-(1-K$8)*TableE3!$J15)</f>
        <v>1.248054366230768</v>
      </c>
      <c r="K14" s="24">
        <f t="shared" si="2"/>
        <v>0.14976652394769213</v>
      </c>
      <c r="L14" s="35">
        <f>(($A14-$A$8)/$B$8)*(1-(1-M$8)*TableE3!$J15)</f>
        <v>1.0686490946153826</v>
      </c>
      <c r="M14" s="32">
        <f t="shared" si="3"/>
        <v>0.1282378913538459</v>
      </c>
    </row>
    <row r="15" spans="1:13" ht="15.75">
      <c r="A15" s="159">
        <v>80</v>
      </c>
      <c r="B15" s="160">
        <f t="shared" si="0"/>
        <v>50</v>
      </c>
      <c r="C15" s="161">
        <f>C14</f>
        <v>0.01</v>
      </c>
      <c r="D15" s="162">
        <f>(($A15-$A$8)/$B$8)*(1-(1-E$8)*TableE3!$J16)</f>
        <v>2</v>
      </c>
      <c r="E15" s="163">
        <f t="shared" si="4"/>
        <v>0.19999999999999998</v>
      </c>
      <c r="F15" s="162">
        <f>(($A15-$A$8)/$B$8)*(1-(1-G$8)*TableE3!$J16)</f>
        <v>1.753760276965295</v>
      </c>
      <c r="G15" s="163">
        <f t="shared" si="4"/>
        <v>0.17537602769652946</v>
      </c>
      <c r="H15" s="162">
        <f>(($A15-$A$8)/$B$8)*(1-(1-I$8)*TableE3!$J16)</f>
        <v>1.3844006924132373</v>
      </c>
      <c r="I15" s="163">
        <f t="shared" si="1"/>
        <v>0.1384400692413237</v>
      </c>
      <c r="J15" s="162">
        <f>(($A15-$A$8)/$B$8)*(1-(1-K$8)*TableE3!$J16)</f>
        <v>1.1381609693785322</v>
      </c>
      <c r="K15" s="163">
        <f t="shared" si="2"/>
        <v>0.1138160969378532</v>
      </c>
      <c r="L15" s="162">
        <f>(($A15-$A$8)/$B$8)*(1-(1-M$8)*TableE3!$J16)</f>
        <v>0.7688013848264743</v>
      </c>
      <c r="M15" s="164">
        <f t="shared" si="3"/>
        <v>0.07688013848264742</v>
      </c>
    </row>
    <row r="16" spans="1:13" ht="15">
      <c r="A16" s="9">
        <v>60</v>
      </c>
      <c r="B16" s="10">
        <f t="shared" si="0"/>
        <v>30</v>
      </c>
      <c r="C16" s="34">
        <v>0.02</v>
      </c>
      <c r="D16" s="35">
        <f>(($A16-$A$8)/$B$8)*(1-(1-E$8)*TableE3!$J17)</f>
        <v>1.3333333333333333</v>
      </c>
      <c r="E16" s="24">
        <f t="shared" si="4"/>
        <v>0.19999999999999996</v>
      </c>
      <c r="F16" s="35">
        <f>(($A16-$A$8)/$B$8)*(1-(1-G$8)*TableE3!$J17)</f>
        <v>1.3333333333333333</v>
      </c>
      <c r="G16" s="24">
        <f t="shared" si="4"/>
        <v>0.19999999999999996</v>
      </c>
      <c r="H16" s="35">
        <f>(($A16-$A$8)/$B$8)*(1-(1-I$8)*TableE3!$J17)</f>
        <v>1.3333333333333333</v>
      </c>
      <c r="I16" s="24">
        <f t="shared" si="1"/>
        <v>0.19999999999999996</v>
      </c>
      <c r="J16" s="35">
        <f>(($A16-$A$8)/$B$8)*(1-(1-K$8)*TableE3!$J17)</f>
        <v>1.3333333333333333</v>
      </c>
      <c r="K16" s="24">
        <f t="shared" si="2"/>
        <v>0.19999999999999996</v>
      </c>
      <c r="L16" s="35">
        <f>(($A16-$A$8)/$B$8)*(1-(1-M$8)*TableE3!$J17)</f>
        <v>1.3333333333333333</v>
      </c>
      <c r="M16" s="32">
        <f t="shared" si="3"/>
        <v>0.19999999999999996</v>
      </c>
    </row>
    <row r="17" spans="1:13" ht="15">
      <c r="A17" s="9">
        <v>70</v>
      </c>
      <c r="B17" s="10">
        <f t="shared" si="0"/>
        <v>40</v>
      </c>
      <c r="C17" s="34">
        <f>C16</f>
        <v>0.02</v>
      </c>
      <c r="D17" s="35">
        <f>(($A17-$A$8)/$B$8)*(1-(1-E$8)*TableE3!$J18)</f>
        <v>1.6666666666666667</v>
      </c>
      <c r="E17" s="24">
        <f t="shared" si="4"/>
        <v>0.19999999999999996</v>
      </c>
      <c r="F17" s="35">
        <f>(($A17-$A$8)/$B$8)*(1-(1-G$8)*TableE3!$J18)</f>
        <v>1.5376662178081235</v>
      </c>
      <c r="G17" s="24">
        <f t="shared" si="4"/>
        <v>0.18451994613697478</v>
      </c>
      <c r="H17" s="35">
        <f>(($A17-$A$8)/$B$8)*(1-(1-I$8)*TableE3!$J18)</f>
        <v>1.3441655445203091</v>
      </c>
      <c r="I17" s="24">
        <f t="shared" si="1"/>
        <v>0.16129986534243707</v>
      </c>
      <c r="J17" s="35">
        <f>(($A17-$A$8)/$B$8)*(1-(1-K$8)*TableE3!$J18)</f>
        <v>1.215165095661766</v>
      </c>
      <c r="K17" s="24">
        <f t="shared" si="2"/>
        <v>0.1458198114794119</v>
      </c>
      <c r="L17" s="35">
        <f>(($A17-$A$8)/$B$8)*(1-(1-M$8)*TableE3!$J18)</f>
        <v>1.0216644223739513</v>
      </c>
      <c r="M17" s="32">
        <f t="shared" si="3"/>
        <v>0.12259973068487413</v>
      </c>
    </row>
    <row r="18" spans="1:13" ht="15.75">
      <c r="A18" s="13">
        <v>80</v>
      </c>
      <c r="B18" s="14">
        <f t="shared" si="0"/>
        <v>50</v>
      </c>
      <c r="C18" s="29">
        <f>C17</f>
        <v>0.02</v>
      </c>
      <c r="D18" s="28">
        <f>(($A18-$A$8)/$B$8)*(1-(1-E$8)*TableE3!$J19)</f>
        <v>2</v>
      </c>
      <c r="E18" s="15">
        <f t="shared" si="4"/>
        <v>0.19999999999999998</v>
      </c>
      <c r="F18" s="28">
        <f>(($A18-$A$8)/$B$8)*(1-(1-G$8)*TableE3!$J19)</f>
        <v>1.734737075319813</v>
      </c>
      <c r="G18" s="15">
        <f t="shared" si="4"/>
        <v>0.1734737075319813</v>
      </c>
      <c r="H18" s="28">
        <f>(($A18-$A$8)/$B$8)*(1-(1-I$8)*TableE3!$J19)</f>
        <v>1.3368426882995323</v>
      </c>
      <c r="I18" s="15">
        <f t="shared" si="1"/>
        <v>0.1336842688299532</v>
      </c>
      <c r="J18" s="28">
        <f>(($A18-$A$8)/$B$8)*(1-(1-K$8)*TableE3!$J19)</f>
        <v>1.0715797636193454</v>
      </c>
      <c r="K18" s="15">
        <f t="shared" si="2"/>
        <v>0.10715797636193453</v>
      </c>
      <c r="L18" s="28">
        <f>(($A18-$A$8)/$B$8)*(1-(1-M$8)*TableE3!$J19)</f>
        <v>0.6736853765990647</v>
      </c>
      <c r="M18" s="16">
        <f t="shared" si="3"/>
        <v>0.06736853765990646</v>
      </c>
    </row>
    <row r="19" spans="1:13" ht="15">
      <c r="A19" s="152">
        <v>60</v>
      </c>
      <c r="B19" s="153">
        <f t="shared" si="0"/>
        <v>30</v>
      </c>
      <c r="C19" s="154">
        <v>0.03</v>
      </c>
      <c r="D19" s="155">
        <f>(($A19-$A$8)/$B$8)*(1-(1-E$8)*TableE3!$J20)</f>
        <v>1.3333333333333333</v>
      </c>
      <c r="E19" s="156">
        <f t="shared" si="4"/>
        <v>0.19999999999999996</v>
      </c>
      <c r="F19" s="155">
        <f>(($A19-$A$8)/$B$8)*(1-(1-G$8)*TableE3!$J20)</f>
        <v>1.3333333333333333</v>
      </c>
      <c r="G19" s="156">
        <f t="shared" si="4"/>
        <v>0.19999999999999996</v>
      </c>
      <c r="H19" s="155">
        <f>(($A19-$A$8)/$B$8)*(1-(1-I$8)*TableE3!$J20)</f>
        <v>1.3333333333333333</v>
      </c>
      <c r="I19" s="156">
        <f t="shared" si="1"/>
        <v>0.19999999999999996</v>
      </c>
      <c r="J19" s="155">
        <f>(($A19-$A$8)/$B$8)*(1-(1-K$8)*TableE3!$J20)</f>
        <v>1.3333333333333333</v>
      </c>
      <c r="K19" s="156">
        <f t="shared" si="2"/>
        <v>0.19999999999999996</v>
      </c>
      <c r="L19" s="155">
        <f>(($A19-$A$8)/$B$8)*(1-(1-M$8)*TableE3!$J20)</f>
        <v>1.3333333333333333</v>
      </c>
      <c r="M19" s="158">
        <f t="shared" si="3"/>
        <v>0.19999999999999996</v>
      </c>
    </row>
    <row r="20" spans="1:13" ht="15">
      <c r="A20" s="9">
        <v>70</v>
      </c>
      <c r="B20" s="10">
        <f t="shared" si="0"/>
        <v>40</v>
      </c>
      <c r="C20" s="34">
        <f>C19</f>
        <v>0.03</v>
      </c>
      <c r="D20" s="35">
        <f>(($A20-$A$8)/$B$8)*(1-(1-E$8)*TableE3!$J21)</f>
        <v>1.6666666666666667</v>
      </c>
      <c r="E20" s="24">
        <f t="shared" si="4"/>
        <v>0.19999999999999996</v>
      </c>
      <c r="F20" s="35">
        <f>(($A20-$A$8)/$B$8)*(1-(1-G$8)*TableE3!$J21)</f>
        <v>1.5283218712780253</v>
      </c>
      <c r="G20" s="24">
        <f t="shared" si="4"/>
        <v>0.18339862455336303</v>
      </c>
      <c r="H20" s="35">
        <f>(($A20-$A$8)/$B$8)*(1-(1-I$8)*TableE3!$J21)</f>
        <v>1.3208046781950629</v>
      </c>
      <c r="I20" s="24">
        <f t="shared" si="1"/>
        <v>0.1584965613834075</v>
      </c>
      <c r="J20" s="35">
        <f>(($A20-$A$8)/$B$8)*(1-(1-K$8)*TableE3!$J21)</f>
        <v>1.1824598828064212</v>
      </c>
      <c r="K20" s="24">
        <f t="shared" si="2"/>
        <v>0.14189518593677053</v>
      </c>
      <c r="L20" s="35">
        <f>(($A20-$A$8)/$B$8)*(1-(1-M$8)*TableE3!$J21)</f>
        <v>0.9749426897234589</v>
      </c>
      <c r="M20" s="32">
        <f t="shared" si="3"/>
        <v>0.11699312276681505</v>
      </c>
    </row>
    <row r="21" spans="1:13" ht="15.75">
      <c r="A21" s="159">
        <v>80</v>
      </c>
      <c r="B21" s="160">
        <f t="shared" si="0"/>
        <v>50</v>
      </c>
      <c r="C21" s="161">
        <f>C20</f>
        <v>0.03</v>
      </c>
      <c r="D21" s="162">
        <f>(($A21-$A$8)/$B$8)*(1-(1-E$8)*TableE3!$J22)</f>
        <v>2</v>
      </c>
      <c r="E21" s="163">
        <f t="shared" si="4"/>
        <v>0.19999999999999998</v>
      </c>
      <c r="F21" s="162">
        <f>(($A21-$A$8)/$B$8)*(1-(1-G$8)*TableE3!$J22)</f>
        <v>1.716848570539787</v>
      </c>
      <c r="G21" s="163">
        <f t="shared" si="4"/>
        <v>0.17168485705397868</v>
      </c>
      <c r="H21" s="162">
        <f>(($A21-$A$8)/$B$8)*(1-(1-I$8)*TableE3!$J22)</f>
        <v>1.2921214263494671</v>
      </c>
      <c r="I21" s="163">
        <f t="shared" si="1"/>
        <v>0.1292121426349467</v>
      </c>
      <c r="J21" s="162">
        <f>(($A21-$A$8)/$B$8)*(1-(1-K$8)*TableE3!$J22)</f>
        <v>1.008969996889254</v>
      </c>
      <c r="K21" s="163">
        <f t="shared" si="2"/>
        <v>0.10089699968892538</v>
      </c>
      <c r="L21" s="162">
        <f>(($A21-$A$8)/$B$8)*(1-(1-M$8)*TableE3!$J22)</f>
        <v>0.5842428526989343</v>
      </c>
      <c r="M21" s="164">
        <f t="shared" si="3"/>
        <v>0.05842428526989342</v>
      </c>
    </row>
    <row r="22" spans="1:13" ht="15">
      <c r="A22" s="9">
        <v>60</v>
      </c>
      <c r="B22" s="10">
        <f t="shared" si="0"/>
        <v>30</v>
      </c>
      <c r="C22" s="34">
        <v>0.04</v>
      </c>
      <c r="D22" s="35">
        <f>(($A22-$A$8)/$B$8)*(1-(1-E$8)*TableE3!$J23)</f>
        <v>1.3333333333333333</v>
      </c>
      <c r="E22" s="24">
        <f t="shared" si="4"/>
        <v>0.19999999999999996</v>
      </c>
      <c r="F22" s="35">
        <f>(($A22-$A$8)/$B$8)*(1-(1-G$8)*TableE3!$J23)</f>
        <v>1.3333333333333333</v>
      </c>
      <c r="G22" s="24">
        <f t="shared" si="4"/>
        <v>0.19999999999999996</v>
      </c>
      <c r="H22" s="35">
        <f>(($A22-$A$8)/$B$8)*(1-(1-I$8)*TableE3!$J23)</f>
        <v>1.3333333333333333</v>
      </c>
      <c r="I22" s="24">
        <f t="shared" si="1"/>
        <v>0.19999999999999996</v>
      </c>
      <c r="J22" s="35">
        <f>(($A22-$A$8)/$B$8)*(1-(1-K$8)*TableE3!$J23)</f>
        <v>1.3333333333333333</v>
      </c>
      <c r="K22" s="24">
        <f t="shared" si="2"/>
        <v>0.19999999999999996</v>
      </c>
      <c r="L22" s="35">
        <f>(($A22-$A$8)/$B$8)*(1-(1-M$8)*TableE3!$J23)</f>
        <v>1.3333333333333333</v>
      </c>
      <c r="M22" s="32">
        <f t="shared" si="3"/>
        <v>0.19999999999999996</v>
      </c>
    </row>
    <row r="23" spans="1:13" ht="15">
      <c r="A23" s="9">
        <v>70</v>
      </c>
      <c r="B23" s="10">
        <f t="shared" si="0"/>
        <v>40</v>
      </c>
      <c r="C23" s="34">
        <f>C22</f>
        <v>0.04</v>
      </c>
      <c r="D23" s="35">
        <f>(($A23-$A$8)/$B$8)*(1-(1-E$8)*TableE3!$J24)</f>
        <v>1.6666666666666667</v>
      </c>
      <c r="E23" s="24">
        <f t="shared" si="4"/>
        <v>0.19999999999999996</v>
      </c>
      <c r="F23" s="35">
        <f>(($A23-$A$8)/$B$8)*(1-(1-G$8)*TableE3!$J24)</f>
        <v>1.5193569083777851</v>
      </c>
      <c r="G23" s="24">
        <f t="shared" si="4"/>
        <v>0.1823228290053342</v>
      </c>
      <c r="H23" s="35">
        <f>(($A23-$A$8)/$B$8)*(1-(1-I$8)*TableE3!$J24)</f>
        <v>1.2983922709444626</v>
      </c>
      <c r="I23" s="24">
        <f t="shared" si="1"/>
        <v>0.1558070725133355</v>
      </c>
      <c r="J23" s="35">
        <f>(($A23-$A$8)/$B$8)*(1-(1-K$8)*TableE3!$J24)</f>
        <v>1.151082512655581</v>
      </c>
      <c r="K23" s="24">
        <f t="shared" si="2"/>
        <v>0.1381299015186697</v>
      </c>
      <c r="L23" s="35">
        <f>(($A23-$A$8)/$B$8)*(1-(1-M$8)*TableE3!$J24)</f>
        <v>0.9301178752222583</v>
      </c>
      <c r="M23" s="32">
        <f t="shared" si="3"/>
        <v>0.11161414502667098</v>
      </c>
    </row>
    <row r="24" spans="1:13" ht="15.75">
      <c r="A24" s="13">
        <v>80</v>
      </c>
      <c r="B24" s="14">
        <f t="shared" si="0"/>
        <v>50</v>
      </c>
      <c r="C24" s="29">
        <f>C23</f>
        <v>0.04</v>
      </c>
      <c r="D24" s="28">
        <f>(($A24-$A$8)/$B$8)*(1-(1-E$8)*TableE3!$J25)</f>
        <v>2</v>
      </c>
      <c r="E24" s="15">
        <f t="shared" si="4"/>
        <v>0.19999999999999998</v>
      </c>
      <c r="F24" s="28">
        <f>(($A24-$A$8)/$B$8)*(1-(1-G$8)*TableE3!$J25)</f>
        <v>1.7012127739405545</v>
      </c>
      <c r="G24" s="15">
        <f t="shared" si="4"/>
        <v>0.17012127739405541</v>
      </c>
      <c r="H24" s="28">
        <f>(($A24-$A$8)/$B$8)*(1-(1-I$8)*TableE3!$J25)</f>
        <v>1.2530319348513859</v>
      </c>
      <c r="I24" s="15">
        <f t="shared" si="1"/>
        <v>0.12530319348513858</v>
      </c>
      <c r="J24" s="28">
        <f>(($A24-$A$8)/$B$8)*(1-(1-K$8)*TableE3!$J25)</f>
        <v>0.9542447087919403</v>
      </c>
      <c r="K24" s="15">
        <f t="shared" si="2"/>
        <v>0.09542447087919402</v>
      </c>
      <c r="L24" s="28">
        <f>(($A24-$A$8)/$B$8)*(1-(1-M$8)*TableE3!$J25)</f>
        <v>0.5060638697027717</v>
      </c>
      <c r="M24" s="16">
        <f t="shared" si="3"/>
        <v>0.05060638697027717</v>
      </c>
    </row>
    <row r="25" spans="1:13" ht="15">
      <c r="A25" s="152">
        <v>60</v>
      </c>
      <c r="B25" s="153">
        <f t="shared" si="0"/>
        <v>30</v>
      </c>
      <c r="C25" s="154">
        <v>0.05</v>
      </c>
      <c r="D25" s="155">
        <f>(($A25-$A$8)/$B$8)*(1-(1-E$8)*TableE3!$J26)</f>
        <v>1.3333333333333333</v>
      </c>
      <c r="E25" s="156">
        <f t="shared" si="4"/>
        <v>0.19999999999999996</v>
      </c>
      <c r="F25" s="155">
        <f>(($A25-$A$8)/$B$8)*(1-(1-G$8)*TableE3!$J26)</f>
        <v>1.3333333333333333</v>
      </c>
      <c r="G25" s="156">
        <f t="shared" si="4"/>
        <v>0.19999999999999996</v>
      </c>
      <c r="H25" s="155">
        <f>(($A25-$A$8)/$B$8)*(1-(1-I$8)*TableE3!$J26)</f>
        <v>1.3333333333333333</v>
      </c>
      <c r="I25" s="156">
        <f t="shared" si="1"/>
        <v>0.19999999999999996</v>
      </c>
      <c r="J25" s="155">
        <f>(($A25-$A$8)/$B$8)*(1-(1-K$8)*TableE3!$J26)</f>
        <v>1.3333333333333333</v>
      </c>
      <c r="K25" s="156">
        <f t="shared" si="2"/>
        <v>0.19999999999999996</v>
      </c>
      <c r="L25" s="155">
        <f>(($A25-$A$8)/$B$8)*(1-(1-M$8)*TableE3!$J26)</f>
        <v>1.3333333333333333</v>
      </c>
      <c r="M25" s="158">
        <f t="shared" si="3"/>
        <v>0.19999999999999996</v>
      </c>
    </row>
    <row r="26" spans="1:13" ht="15">
      <c r="A26" s="9">
        <v>70</v>
      </c>
      <c r="B26" s="10">
        <f t="shared" si="0"/>
        <v>40</v>
      </c>
      <c r="C26" s="34">
        <v>0.05</v>
      </c>
      <c r="D26" s="35">
        <f>(($A26-$A$8)/$B$8)*(1-(1-E$8)*TableE3!$J27)</f>
        <v>1.6666666666666667</v>
      </c>
      <c r="E26" s="24">
        <f t="shared" si="4"/>
        <v>0.19999999999999996</v>
      </c>
      <c r="F26" s="35">
        <f>(($A26-$A$8)/$B$8)*(1-(1-G$8)*TableE3!$J27)</f>
        <v>1.5111188895335779</v>
      </c>
      <c r="G26" s="24">
        <f t="shared" si="4"/>
        <v>0.1813342667440293</v>
      </c>
      <c r="H26" s="35">
        <f>(($A26-$A$8)/$B$8)*(1-(1-I$8)*TableE3!$J27)</f>
        <v>1.2777972238339443</v>
      </c>
      <c r="I26" s="24">
        <f t="shared" si="1"/>
        <v>0.1533356668600733</v>
      </c>
      <c r="J26" s="35">
        <f>(($A26-$A$8)/$B$8)*(1-(1-K$8)*TableE3!$J27)</f>
        <v>1.1222494467008557</v>
      </c>
      <c r="K26" s="24">
        <f t="shared" si="2"/>
        <v>0.13466993360410265</v>
      </c>
      <c r="L26" s="35">
        <f>(($A26-$A$8)/$B$8)*(1-(1-M$8)*TableE3!$J27)</f>
        <v>0.8889277810012219</v>
      </c>
      <c r="M26" s="32">
        <f t="shared" si="3"/>
        <v>0.10667133372014663</v>
      </c>
    </row>
    <row r="27" spans="1:13" ht="15.75">
      <c r="A27" s="159">
        <v>80</v>
      </c>
      <c r="B27" s="160">
        <f t="shared" si="0"/>
        <v>50</v>
      </c>
      <c r="C27" s="161">
        <f>C26</f>
        <v>0.05</v>
      </c>
      <c r="D27" s="162">
        <f>(($A27-$A$8)/$B$8)*(1-(1-E$8)*TableE3!$J28)</f>
        <v>2</v>
      </c>
      <c r="E27" s="163">
        <f t="shared" si="4"/>
        <v>0.19999999999999998</v>
      </c>
      <c r="F27" s="162">
        <f>(($A27-$A$8)/$B$8)*(1-(1-G$8)*TableE3!$J28)</f>
        <v>1.6888992612723979</v>
      </c>
      <c r="G27" s="163">
        <f t="shared" si="4"/>
        <v>0.16888992612723977</v>
      </c>
      <c r="H27" s="162">
        <f>(($A27-$A$8)/$B$8)*(1-(1-I$8)*TableE3!$J28)</f>
        <v>1.2222481531809946</v>
      </c>
      <c r="I27" s="163">
        <f t="shared" si="1"/>
        <v>0.12222481531809944</v>
      </c>
      <c r="J27" s="162">
        <f>(($A27-$A$8)/$B$8)*(1-(1-K$8)*TableE3!$J28)</f>
        <v>0.9111474144533924</v>
      </c>
      <c r="K27" s="163">
        <f t="shared" si="2"/>
        <v>0.09111474144533924</v>
      </c>
      <c r="L27" s="162">
        <f>(($A27-$A$8)/$B$8)*(1-(1-M$8)*TableE3!$J28)</f>
        <v>0.4444963063619891</v>
      </c>
      <c r="M27" s="164">
        <f t="shared" si="3"/>
        <v>0.0444496306361989</v>
      </c>
    </row>
    <row r="28" spans="1:13" ht="15">
      <c r="A28" s="9">
        <v>60</v>
      </c>
      <c r="B28" s="10">
        <f t="shared" si="0"/>
        <v>30</v>
      </c>
      <c r="C28" s="34">
        <v>0.1</v>
      </c>
      <c r="D28" s="35">
        <f>(($A28-$A$8)/$B$8)*(1-(1-E$8)*TableE3!$J29)</f>
        <v>1.3333333333333333</v>
      </c>
      <c r="E28" s="24">
        <f t="shared" si="4"/>
        <v>0.19999999999999996</v>
      </c>
      <c r="F28" s="35">
        <f>(($A28-$A$8)/$B$8)*(1-(1-G$8)*TableE3!$J29)</f>
        <v>1.3333333333333333</v>
      </c>
      <c r="G28" s="24">
        <f t="shared" si="4"/>
        <v>0.19999999999999996</v>
      </c>
      <c r="H28" s="35">
        <f>(($A28-$A$8)/$B$8)*(1-(1-I$8)*TableE3!$J29)</f>
        <v>1.3333333333333333</v>
      </c>
      <c r="I28" s="24">
        <f t="shared" si="1"/>
        <v>0.19999999999999996</v>
      </c>
      <c r="J28" s="35">
        <f>(($A28-$A$8)/$B$8)*(1-(1-K$8)*TableE3!$J29)</f>
        <v>1.3333333333333333</v>
      </c>
      <c r="K28" s="24">
        <f t="shared" si="2"/>
        <v>0.19999999999999996</v>
      </c>
      <c r="L28" s="35">
        <f>(($A28-$A$8)/$B$8)*(1-(1-M$8)*TableE3!$J29)</f>
        <v>1.3333333333333333</v>
      </c>
      <c r="M28" s="32">
        <f t="shared" si="3"/>
        <v>0.19999999999999996</v>
      </c>
    </row>
    <row r="29" spans="1:13" ht="15">
      <c r="A29" s="9">
        <v>70</v>
      </c>
      <c r="B29" s="10">
        <f t="shared" si="0"/>
        <v>40</v>
      </c>
      <c r="C29" s="34">
        <f>C28</f>
        <v>0.1</v>
      </c>
      <c r="D29" s="35">
        <f>(($A29-$A$8)/$B$8)*(1-(1-E$8)*TableE3!$J30)</f>
        <v>1.6666666666666667</v>
      </c>
      <c r="E29" s="24">
        <f t="shared" si="4"/>
        <v>0.19999999999999996</v>
      </c>
      <c r="F29" s="35">
        <f>(($A29-$A$8)/$B$8)*(1-(1-G$8)*TableE3!$J30)</f>
        <v>1.4888234776177591</v>
      </c>
      <c r="G29" s="24">
        <f t="shared" si="4"/>
        <v>0.17865881731413108</v>
      </c>
      <c r="H29" s="35">
        <f>(($A29-$A$8)/$B$8)*(1-(1-I$8)*TableE3!$J30)</f>
        <v>1.2220586940443976</v>
      </c>
      <c r="I29" s="24">
        <f t="shared" si="1"/>
        <v>0.14664704328532768</v>
      </c>
      <c r="J29" s="35">
        <f>(($A29-$A$8)/$B$8)*(1-(1-K$8)*TableE3!$J30)</f>
        <v>1.0442155049954902</v>
      </c>
      <c r="K29" s="24">
        <f t="shared" si="2"/>
        <v>0.1253058605994588</v>
      </c>
      <c r="L29" s="35">
        <f>(($A29-$A$8)/$B$8)*(1-(1-M$8)*TableE3!$J30)</f>
        <v>0.7774507214221287</v>
      </c>
      <c r="M29" s="32">
        <f t="shared" si="3"/>
        <v>0.09329408657065542</v>
      </c>
    </row>
    <row r="30" spans="1:13" ht="16.5" thickBot="1">
      <c r="A30" s="17">
        <v>80</v>
      </c>
      <c r="B30" s="18">
        <f t="shared" si="0"/>
        <v>50</v>
      </c>
      <c r="C30" s="31">
        <f>C29</f>
        <v>0.1</v>
      </c>
      <c r="D30" s="30">
        <f>(($A30-$A$8)/$B$8)*(1-(1-E$8)*TableE3!$J31)</f>
        <v>2</v>
      </c>
      <c r="E30" s="19">
        <f t="shared" si="4"/>
        <v>0.19999999999999998</v>
      </c>
      <c r="F30" s="30">
        <f>(($A30-$A$8)/$B$8)*(1-(1-G$8)*TableE3!$J31)</f>
        <v>1.6902195523879442</v>
      </c>
      <c r="G30" s="19">
        <f t="shared" si="4"/>
        <v>0.1690219552387944</v>
      </c>
      <c r="H30" s="30">
        <f>(($A30-$A$8)/$B$8)*(1-(1-I$8)*TableE3!$J31)</f>
        <v>1.2255488809698603</v>
      </c>
      <c r="I30" s="19">
        <f t="shared" si="1"/>
        <v>0.122554888096986</v>
      </c>
      <c r="J30" s="30">
        <f>(($A30-$A$8)/$B$8)*(1-(1-K$8)*TableE3!$J31)</f>
        <v>0.9157684333578044</v>
      </c>
      <c r="K30" s="19">
        <f t="shared" si="2"/>
        <v>0.09157684333578044</v>
      </c>
      <c r="L30" s="30">
        <f>(($A30-$A$8)/$B$8)*(1-(1-M$8)*TableE3!$J31)</f>
        <v>0.4510977619397205</v>
      </c>
      <c r="M30" s="20">
        <f t="shared" si="3"/>
        <v>0.045109776193972044</v>
      </c>
    </row>
    <row r="31" ht="13.5" thickTop="1"/>
  </sheetData>
  <mergeCells count="2">
    <mergeCell ref="A3:M3"/>
    <mergeCell ref="D5:M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3"/>
  <legacyDrawing r:id="rId2"/>
  <oleObjects>
    <oleObject progId="Equation.3" shapeId="2414714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K26"/>
    </sheetView>
  </sheetViews>
  <sheetFormatPr defaultColWidth="11.421875" defaultRowHeight="12.75"/>
  <cols>
    <col min="1" max="11" width="10.7109375" style="0" customWidth="1"/>
  </cols>
  <sheetData>
    <row r="1" ht="12.75">
      <c r="A1" s="1"/>
    </row>
    <row r="2" ht="13.5" thickBot="1"/>
    <row r="3" spans="1:11" ht="39.75" customHeight="1" thickTop="1">
      <c r="A3" s="98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143"/>
    </row>
    <row r="4" spans="1:11" ht="15">
      <c r="A4" s="6" t="s">
        <v>15</v>
      </c>
      <c r="B4" s="7" t="s">
        <v>16</v>
      </c>
      <c r="C4" s="3"/>
      <c r="D4" s="3"/>
      <c r="E4" s="3"/>
      <c r="F4" s="3"/>
      <c r="G4" s="3"/>
      <c r="H4" s="3"/>
      <c r="I4" s="3"/>
      <c r="J4" s="3"/>
      <c r="K4" s="89"/>
    </row>
    <row r="5" spans="1:11" ht="15">
      <c r="A5" s="6">
        <v>20</v>
      </c>
      <c r="B5" s="7">
        <v>30</v>
      </c>
      <c r="C5" s="4"/>
      <c r="D5" s="7"/>
      <c r="E5" s="7"/>
      <c r="F5" s="7"/>
      <c r="G5" s="7"/>
      <c r="H5" s="7"/>
      <c r="I5" s="7"/>
      <c r="J5" s="7"/>
      <c r="K5" s="8"/>
    </row>
    <row r="6" spans="1:11" ht="19.5">
      <c r="A6" s="6" t="s">
        <v>33</v>
      </c>
      <c r="B6" s="23" t="s">
        <v>28</v>
      </c>
      <c r="C6" s="4"/>
      <c r="D6" s="23" t="s">
        <v>29</v>
      </c>
      <c r="E6" s="23" t="s">
        <v>52</v>
      </c>
      <c r="F6" s="23" t="s">
        <v>29</v>
      </c>
      <c r="G6" s="23" t="s">
        <v>52</v>
      </c>
      <c r="H6" s="23" t="s">
        <v>29</v>
      </c>
      <c r="I6" s="23" t="s">
        <v>52</v>
      </c>
      <c r="J6" s="23" t="s">
        <v>29</v>
      </c>
      <c r="K6" s="64" t="s">
        <v>52</v>
      </c>
    </row>
    <row r="7" spans="1:11" ht="15">
      <c r="A7" s="6">
        <v>60</v>
      </c>
      <c r="B7" s="11">
        <v>0.7</v>
      </c>
      <c r="C7" s="7"/>
      <c r="D7" s="11">
        <v>1</v>
      </c>
      <c r="E7" s="11">
        <v>0.1</v>
      </c>
      <c r="F7" s="11">
        <v>0.8</v>
      </c>
      <c r="G7" s="11">
        <v>0.1</v>
      </c>
      <c r="H7" s="11">
        <v>0.5</v>
      </c>
      <c r="I7" s="11">
        <v>0.1</v>
      </c>
      <c r="J7" s="11">
        <v>0</v>
      </c>
      <c r="K7" s="12">
        <v>0.1</v>
      </c>
    </row>
    <row r="8" spans="1:11" ht="19.5">
      <c r="A8" s="6" t="s">
        <v>20</v>
      </c>
      <c r="B8" s="7" t="s">
        <v>21</v>
      </c>
      <c r="C8" s="7" t="s">
        <v>25</v>
      </c>
      <c r="D8" s="7" t="s">
        <v>26</v>
      </c>
      <c r="E8" s="7" t="s">
        <v>36</v>
      </c>
      <c r="F8" s="7" t="s">
        <v>26</v>
      </c>
      <c r="G8" s="7" t="s">
        <v>36</v>
      </c>
      <c r="H8" s="7" t="s">
        <v>26</v>
      </c>
      <c r="I8" s="7" t="s">
        <v>36</v>
      </c>
      <c r="J8" s="7" t="s">
        <v>26</v>
      </c>
      <c r="K8" s="8" t="s">
        <v>36</v>
      </c>
    </row>
    <row r="9" spans="1:11" ht="15">
      <c r="A9" s="144">
        <v>60</v>
      </c>
      <c r="B9" s="145">
        <f aca="true" t="shared" si="0" ref="B9:B26">A9-B$5</f>
        <v>30</v>
      </c>
      <c r="C9" s="166">
        <v>1E-06</v>
      </c>
      <c r="D9" s="166">
        <f>(($A9-$A$5)/(($A$7-$A$5)+D$7*($A9-$A$7)))*((EXP($C9*($B9-$A$5))-EXP(-$C9*($A$7-$B9)))+D$7*(EXP(-$C9*($A$7-$B9))-EXP(-$C9*$B$5)))/($C9*($A9-$A$5))</f>
        <v>0.9999900001139707</v>
      </c>
      <c r="E9" s="166">
        <f>E$7*EXP($C9*$B$5)*D9*$B$7/(1-E$7*EXP($C9*$B$5))</f>
        <v>0.07777959262306242</v>
      </c>
      <c r="F9" s="166">
        <f>(($A9-$A$5)/(($A$7-$A$5)+F$7*($A9-$A$7)))*((EXP($C9*($B9-$A$5))-EXP(-$C9*($A$7-$B9)))+F$7*(EXP(-$C9*($A$7-$B9))-EXP(-$C9*$B$5)))/($C9*($A9-$A$5))</f>
        <v>0.9999900001139707</v>
      </c>
      <c r="G9" s="166">
        <f>G$7*EXP($C9*$B$5)*F9*$B$7/(1-G$7*EXP($C9*$B$5))</f>
        <v>0.07777959262306242</v>
      </c>
      <c r="H9" s="166">
        <f>(($A9-$A$5)/(($A$7-$A$5)+H$7*($A9-$A$7)))*((EXP($C9*($B9-$A$5))-EXP(-$C9*($A$7-$B9)))+H$7*(EXP(-$C9*($A$7-$B9))-EXP(-$C9*$B$5)))/($C9*($A9-$A$5))</f>
        <v>0.9999900001139707</v>
      </c>
      <c r="I9" s="166">
        <f aca="true" t="shared" si="1" ref="I9:I26">I$7*EXP($C9*$B$5)*H9*$B$7/(1-I$7*EXP($C9*$B$5))</f>
        <v>0.07777959262306242</v>
      </c>
      <c r="J9" s="166">
        <f>(($A9-$A$5)/(($A$7-$A$5)+J$7*($A9-$A$7)))*((EXP($C9*($B9-$A$5))-EXP(-$C9*($A$7-$B9)))+J$7*(EXP(-$C9*($A$7-$B9))-EXP(-$C9*$B$5)))/($C9*($A9-$A$5))</f>
        <v>0.9999900001139707</v>
      </c>
      <c r="K9" s="172">
        <f aca="true" t="shared" si="2" ref="K9:K26">K$7*EXP($C9*$B$5)*J9*$B$7/(1-K$7*EXP($C9*$B$5))</f>
        <v>0.07777959262306242</v>
      </c>
    </row>
    <row r="10" spans="1:11" ht="15">
      <c r="A10" s="9">
        <v>70</v>
      </c>
      <c r="B10" s="10">
        <f t="shared" si="0"/>
        <v>40</v>
      </c>
      <c r="C10" s="11">
        <f>C9</f>
        <v>1E-06</v>
      </c>
      <c r="D10" s="11">
        <f aca="true" t="shared" si="3" ref="D10:J26">(($A10-$A$5)/(($A$7-$A$5)+D$7*($A10-$A$7)))*((EXP($C10*($B10-$A$5))-EXP(-$C10*($A$7-$B10)))+D$7*(EXP(-$C10*($A$7-$B10))-EXP(-$C10*$B$5)))/($C10*($A10-$A$5))</f>
        <v>0.9999950001149395</v>
      </c>
      <c r="E10" s="11">
        <f aca="true" t="shared" si="4" ref="E10:G26">E$7*EXP($C10*$B$5)*D10*$B$7/(1-E$7*EXP($C10*$B$5))</f>
        <v>0.07777998152498986</v>
      </c>
      <c r="F10" s="11">
        <f t="shared" si="3"/>
        <v>0.9999958334399226</v>
      </c>
      <c r="G10" s="11">
        <f t="shared" si="4"/>
        <v>0.07778004634131572</v>
      </c>
      <c r="H10" s="11">
        <f t="shared" si="3"/>
        <v>0.9999972223148944</v>
      </c>
      <c r="I10" s="11">
        <f t="shared" si="1"/>
        <v>0.0777801543685255</v>
      </c>
      <c r="J10" s="11">
        <f t="shared" si="3"/>
        <v>1.000000000064838</v>
      </c>
      <c r="K10" s="12">
        <f t="shared" si="2"/>
        <v>0.07778037042294503</v>
      </c>
    </row>
    <row r="11" spans="1:11" ht="15.75">
      <c r="A11" s="13">
        <v>80</v>
      </c>
      <c r="B11" s="14">
        <f t="shared" si="0"/>
        <v>50</v>
      </c>
      <c r="C11" s="15">
        <f>C9</f>
        <v>1E-06</v>
      </c>
      <c r="D11" s="15">
        <f t="shared" si="3"/>
        <v>1.00000000014903</v>
      </c>
      <c r="E11" s="15">
        <f t="shared" si="4"/>
        <v>0.07778037042949351</v>
      </c>
      <c r="F11" s="15">
        <f t="shared" si="3"/>
        <v>1.0000014287156864</v>
      </c>
      <c r="G11" s="15">
        <f t="shared" si="4"/>
        <v>0.07778048154393723</v>
      </c>
      <c r="H11" s="15">
        <f t="shared" si="3"/>
        <v>1.000004000135668</v>
      </c>
      <c r="I11" s="15">
        <f t="shared" si="1"/>
        <v>0.07778068154993589</v>
      </c>
      <c r="J11" s="15">
        <f t="shared" si="3"/>
        <v>1.0000100001156254</v>
      </c>
      <c r="K11" s="16">
        <f t="shared" si="2"/>
        <v>0.07778114823059948</v>
      </c>
    </row>
    <row r="12" spans="1:11" ht="15">
      <c r="A12" s="152">
        <v>60</v>
      </c>
      <c r="B12" s="153">
        <f t="shared" si="0"/>
        <v>30</v>
      </c>
      <c r="C12" s="168">
        <v>0.01</v>
      </c>
      <c r="D12" s="168">
        <f t="shared" si="3"/>
        <v>0.9108817434848245</v>
      </c>
      <c r="E12" s="168">
        <f t="shared" si="4"/>
        <v>0.099500482330397</v>
      </c>
      <c r="F12" s="168">
        <f t="shared" si="3"/>
        <v>0.9108817434848245</v>
      </c>
      <c r="G12" s="168">
        <f t="shared" si="4"/>
        <v>0.099500482330397</v>
      </c>
      <c r="H12" s="168">
        <f t="shared" si="3"/>
        <v>0.9108817434848245</v>
      </c>
      <c r="I12" s="168">
        <f t="shared" si="1"/>
        <v>0.099500482330397</v>
      </c>
      <c r="J12" s="168">
        <f t="shared" si="3"/>
        <v>0.9108817434848245</v>
      </c>
      <c r="K12" s="170">
        <f t="shared" si="2"/>
        <v>0.099500482330397</v>
      </c>
    </row>
    <row r="13" spans="1:11" ht="15">
      <c r="A13" s="9">
        <v>70</v>
      </c>
      <c r="B13" s="10">
        <f t="shared" si="0"/>
        <v>40</v>
      </c>
      <c r="C13" s="11">
        <f>C12</f>
        <v>0.01</v>
      </c>
      <c r="D13" s="11">
        <f t="shared" si="3"/>
        <v>0.961169074956904</v>
      </c>
      <c r="E13" s="11">
        <f t="shared" si="4"/>
        <v>0.10499363637851501</v>
      </c>
      <c r="F13" s="11">
        <f t="shared" si="3"/>
        <v>0.9687542312483317</v>
      </c>
      <c r="G13" s="11">
        <f t="shared" si="4"/>
        <v>0.10582220354977162</v>
      </c>
      <c r="H13" s="11">
        <f t="shared" si="3"/>
        <v>0.9813961584007111</v>
      </c>
      <c r="I13" s="11">
        <f t="shared" si="1"/>
        <v>0.10720314883519927</v>
      </c>
      <c r="J13" s="11">
        <f t="shared" si="3"/>
        <v>1.00668001270547</v>
      </c>
      <c r="K13" s="12">
        <f t="shared" si="2"/>
        <v>0.10996503940605461</v>
      </c>
    </row>
    <row r="14" spans="1:11" ht="15.75">
      <c r="A14" s="159">
        <v>80</v>
      </c>
      <c r="B14" s="160">
        <f t="shared" si="0"/>
        <v>50</v>
      </c>
      <c r="C14" s="163">
        <f>C12</f>
        <v>0.01</v>
      </c>
      <c r="D14" s="163">
        <f t="shared" si="3"/>
        <v>1.015067644823809</v>
      </c>
      <c r="E14" s="163">
        <f t="shared" si="4"/>
        <v>0.11088126530184628</v>
      </c>
      <c r="F14" s="163">
        <f t="shared" si="3"/>
        <v>1.028994191827566</v>
      </c>
      <c r="G14" s="163">
        <f t="shared" si="4"/>
        <v>0.11240253648109881</v>
      </c>
      <c r="H14" s="163">
        <f t="shared" si="3"/>
        <v>1.0540619764343289</v>
      </c>
      <c r="I14" s="163">
        <f t="shared" si="1"/>
        <v>0.11514082460375341</v>
      </c>
      <c r="J14" s="163">
        <f t="shared" si="3"/>
        <v>1.1125534738501093</v>
      </c>
      <c r="K14" s="164">
        <f t="shared" si="2"/>
        <v>0.12153016355661417</v>
      </c>
    </row>
    <row r="15" spans="1:11" ht="15">
      <c r="A15" s="152">
        <v>60</v>
      </c>
      <c r="B15" s="153">
        <f t="shared" si="0"/>
        <v>30</v>
      </c>
      <c r="C15" s="168">
        <v>0.02</v>
      </c>
      <c r="D15" s="168">
        <f t="shared" si="3"/>
        <v>0.8407389025826792</v>
      </c>
      <c r="E15" s="168">
        <f t="shared" si="4"/>
        <v>0.13112789074046657</v>
      </c>
      <c r="F15" s="168">
        <f t="shared" si="3"/>
        <v>0.8407389025826792</v>
      </c>
      <c r="G15" s="168">
        <f t="shared" si="4"/>
        <v>0.13112789074046657</v>
      </c>
      <c r="H15" s="168">
        <f t="shared" si="3"/>
        <v>0.8407389025826792</v>
      </c>
      <c r="I15" s="168">
        <f t="shared" si="1"/>
        <v>0.13112789074046657</v>
      </c>
      <c r="J15" s="168">
        <f t="shared" si="3"/>
        <v>0.8407389025826792</v>
      </c>
      <c r="K15" s="170">
        <f t="shared" si="2"/>
        <v>0.13112789074046657</v>
      </c>
    </row>
    <row r="16" spans="1:11" ht="15">
      <c r="A16" s="9">
        <v>70</v>
      </c>
      <c r="B16" s="10">
        <f t="shared" si="0"/>
        <v>40</v>
      </c>
      <c r="C16" s="11">
        <f>C15</f>
        <v>0.02</v>
      </c>
      <c r="D16" s="11">
        <f t="shared" si="3"/>
        <v>0.943013061547244</v>
      </c>
      <c r="E16" s="11">
        <f t="shared" si="4"/>
        <v>0.1470793290539324</v>
      </c>
      <c r="F16" s="11">
        <f t="shared" si="3"/>
        <v>0.9569910203738765</v>
      </c>
      <c r="G16" s="11">
        <f t="shared" si="4"/>
        <v>0.1492594354486322</v>
      </c>
      <c r="H16" s="11">
        <f t="shared" si="3"/>
        <v>0.980287618418264</v>
      </c>
      <c r="I16" s="11">
        <f t="shared" si="1"/>
        <v>0.15289294610646526</v>
      </c>
      <c r="J16" s="11">
        <f t="shared" si="3"/>
        <v>1.0268808145070387</v>
      </c>
      <c r="K16" s="12">
        <f t="shared" si="2"/>
        <v>0.16015996742213126</v>
      </c>
    </row>
    <row r="17" spans="1:11" ht="15.75">
      <c r="A17" s="159">
        <v>80</v>
      </c>
      <c r="B17" s="160">
        <f t="shared" si="0"/>
        <v>50</v>
      </c>
      <c r="C17" s="163">
        <f>C15</f>
        <v>0.02</v>
      </c>
      <c r="D17" s="163">
        <f t="shared" si="3"/>
        <v>1.061089303580402</v>
      </c>
      <c r="E17" s="163">
        <f t="shared" si="4"/>
        <v>0.1654953777425396</v>
      </c>
      <c r="F17" s="163">
        <f t="shared" si="3"/>
        <v>1.0886815543747244</v>
      </c>
      <c r="G17" s="163">
        <f t="shared" si="4"/>
        <v>0.16979887034449595</v>
      </c>
      <c r="H17" s="163">
        <f t="shared" si="3"/>
        <v>1.1383476058045048</v>
      </c>
      <c r="I17" s="163">
        <f t="shared" si="1"/>
        <v>0.1775451570280174</v>
      </c>
      <c r="J17" s="163">
        <f t="shared" si="3"/>
        <v>1.2542350591406588</v>
      </c>
      <c r="K17" s="164">
        <f t="shared" si="2"/>
        <v>0.19561982595623406</v>
      </c>
    </row>
    <row r="18" spans="1:11" ht="15">
      <c r="A18" s="152">
        <v>60</v>
      </c>
      <c r="B18" s="153">
        <f t="shared" si="0"/>
        <v>30</v>
      </c>
      <c r="C18" s="168">
        <v>0.03</v>
      </c>
      <c r="D18" s="168">
        <f t="shared" si="3"/>
        <v>0.7860742898628367</v>
      </c>
      <c r="E18" s="168">
        <f t="shared" si="4"/>
        <v>0.17948677744874553</v>
      </c>
      <c r="F18" s="168">
        <f t="shared" si="3"/>
        <v>0.7860742898628367</v>
      </c>
      <c r="G18" s="168">
        <f t="shared" si="4"/>
        <v>0.17948677744874553</v>
      </c>
      <c r="H18" s="168">
        <f t="shared" si="3"/>
        <v>0.7860742898628367</v>
      </c>
      <c r="I18" s="168">
        <f t="shared" si="1"/>
        <v>0.17948677744874553</v>
      </c>
      <c r="J18" s="168">
        <f t="shared" si="3"/>
        <v>0.7860742898628367</v>
      </c>
      <c r="K18" s="170">
        <f t="shared" si="2"/>
        <v>0.17948677744874553</v>
      </c>
    </row>
    <row r="19" spans="1:11" ht="15">
      <c r="A19" s="9">
        <v>70</v>
      </c>
      <c r="B19" s="10">
        <f t="shared" si="0"/>
        <v>40</v>
      </c>
      <c r="C19" s="11">
        <f>C18</f>
        <v>0.03</v>
      </c>
      <c r="D19" s="11">
        <f t="shared" si="3"/>
        <v>0.9436994270999399</v>
      </c>
      <c r="E19" s="11">
        <f t="shared" si="4"/>
        <v>0.21547781327379534</v>
      </c>
      <c r="F19" s="11">
        <f t="shared" si="3"/>
        <v>0.9632644065133503</v>
      </c>
      <c r="G19" s="11">
        <f t="shared" si="4"/>
        <v>0.2199451456252666</v>
      </c>
      <c r="H19" s="11">
        <f t="shared" si="3"/>
        <v>0.995872705535701</v>
      </c>
      <c r="I19" s="11">
        <f t="shared" si="1"/>
        <v>0.22739069954438546</v>
      </c>
      <c r="J19" s="11">
        <f t="shared" si="3"/>
        <v>1.0610893035804023</v>
      </c>
      <c r="K19" s="12">
        <f t="shared" si="2"/>
        <v>0.24228180738262312</v>
      </c>
    </row>
    <row r="20" spans="1:11" ht="15.75">
      <c r="A20" s="159">
        <v>80</v>
      </c>
      <c r="B20" s="160">
        <f t="shared" si="0"/>
        <v>50</v>
      </c>
      <c r="C20" s="163">
        <f>C18</f>
        <v>0.03</v>
      </c>
      <c r="D20" s="163">
        <f t="shared" si="3"/>
        <v>1.1405741396757503</v>
      </c>
      <c r="E20" s="163">
        <f t="shared" si="4"/>
        <v>0.2604308262104557</v>
      </c>
      <c r="F20" s="163">
        <f t="shared" si="3"/>
        <v>1.182252225731028</v>
      </c>
      <c r="G20" s="163">
        <f t="shared" si="4"/>
        <v>0.2699473126962287</v>
      </c>
      <c r="H20" s="163">
        <f t="shared" si="3"/>
        <v>1.2572727806305275</v>
      </c>
      <c r="I20" s="163">
        <f t="shared" si="1"/>
        <v>0.28707698837062</v>
      </c>
      <c r="J20" s="163">
        <f t="shared" si="3"/>
        <v>1.432320742062693</v>
      </c>
      <c r="K20" s="164">
        <f t="shared" si="2"/>
        <v>0.32704623161086643</v>
      </c>
    </row>
    <row r="21" spans="1:11" ht="15">
      <c r="A21" s="9">
        <v>60</v>
      </c>
      <c r="B21" s="10">
        <f t="shared" si="0"/>
        <v>30</v>
      </c>
      <c r="C21" s="11">
        <v>0.04</v>
      </c>
      <c r="D21" s="11">
        <f t="shared" si="3"/>
        <v>0.7441440535806676</v>
      </c>
      <c r="E21" s="11">
        <f t="shared" si="4"/>
        <v>0.2589044846547474</v>
      </c>
      <c r="F21" s="11">
        <f t="shared" si="3"/>
        <v>0.7441440535806676</v>
      </c>
      <c r="G21" s="11">
        <f t="shared" si="4"/>
        <v>0.2589044846547474</v>
      </c>
      <c r="H21" s="11">
        <f t="shared" si="3"/>
        <v>0.7441440535806676</v>
      </c>
      <c r="I21" s="11">
        <f t="shared" si="1"/>
        <v>0.2589044846547474</v>
      </c>
      <c r="J21" s="11">
        <f t="shared" si="3"/>
        <v>0.7441440535806676</v>
      </c>
      <c r="K21" s="12">
        <f t="shared" si="2"/>
        <v>0.2589044846547474</v>
      </c>
    </row>
    <row r="22" spans="1:11" ht="15">
      <c r="A22" s="9">
        <v>70</v>
      </c>
      <c r="B22" s="10">
        <f t="shared" si="0"/>
        <v>40</v>
      </c>
      <c r="C22" s="11">
        <f>C21</f>
        <v>0.04</v>
      </c>
      <c r="D22" s="11">
        <f t="shared" si="3"/>
        <v>0.9621733582901328</v>
      </c>
      <c r="E22" s="11">
        <f t="shared" si="4"/>
        <v>0.33476179279799895</v>
      </c>
      <c r="F22" s="11">
        <f t="shared" si="3"/>
        <v>0.9868332115308657</v>
      </c>
      <c r="G22" s="11">
        <f t="shared" si="4"/>
        <v>0.34334151142133873</v>
      </c>
      <c r="H22" s="11">
        <f t="shared" si="3"/>
        <v>1.0279329669320867</v>
      </c>
      <c r="I22" s="11">
        <f t="shared" si="1"/>
        <v>0.3576410424602383</v>
      </c>
      <c r="J22" s="11">
        <f t="shared" si="3"/>
        <v>1.110132477734529</v>
      </c>
      <c r="K22" s="12">
        <f t="shared" si="2"/>
        <v>0.3862401045380375</v>
      </c>
    </row>
    <row r="23" spans="1:11" ht="15.75">
      <c r="A23" s="13">
        <v>80</v>
      </c>
      <c r="B23" s="14">
        <f t="shared" si="0"/>
        <v>50</v>
      </c>
      <c r="C23" s="15">
        <f>C21</f>
        <v>0.04</v>
      </c>
      <c r="D23" s="15">
        <f t="shared" si="3"/>
        <v>1.257884462843477</v>
      </c>
      <c r="E23" s="15">
        <f t="shared" si="4"/>
        <v>0.43764634957524423</v>
      </c>
      <c r="F23" s="15">
        <f t="shared" si="3"/>
        <v>1.3147756892855613</v>
      </c>
      <c r="G23" s="15">
        <f t="shared" si="4"/>
        <v>0.4574400892315509</v>
      </c>
      <c r="H23" s="15">
        <f t="shared" si="3"/>
        <v>1.4171798968813132</v>
      </c>
      <c r="I23" s="15">
        <f t="shared" si="1"/>
        <v>0.4930688206129027</v>
      </c>
      <c r="J23" s="15">
        <f t="shared" si="3"/>
        <v>1.6561230479380673</v>
      </c>
      <c r="K23" s="16">
        <f t="shared" si="2"/>
        <v>0.5762025271693902</v>
      </c>
    </row>
    <row r="24" spans="1:11" ht="15">
      <c r="A24" s="152">
        <v>60</v>
      </c>
      <c r="B24" s="153">
        <f t="shared" si="0"/>
        <v>30</v>
      </c>
      <c r="C24" s="168">
        <v>0.05</v>
      </c>
      <c r="D24" s="168">
        <f t="shared" si="3"/>
        <v>0.7127955552758491</v>
      </c>
      <c r="E24" s="168">
        <f t="shared" si="4"/>
        <v>0.4052271905531644</v>
      </c>
      <c r="F24" s="168">
        <f t="shared" si="3"/>
        <v>0.7127955552758491</v>
      </c>
      <c r="G24" s="168">
        <f t="shared" si="4"/>
        <v>0.4052271905531644</v>
      </c>
      <c r="H24" s="168">
        <f t="shared" si="3"/>
        <v>0.7127955552758491</v>
      </c>
      <c r="I24" s="168">
        <f t="shared" si="1"/>
        <v>0.4052271905531644</v>
      </c>
      <c r="J24" s="168">
        <f t="shared" si="3"/>
        <v>0.7127955552758491</v>
      </c>
      <c r="K24" s="170">
        <f t="shared" si="2"/>
        <v>0.4052271905531644</v>
      </c>
    </row>
    <row r="25" spans="1:11" ht="15">
      <c r="A25" s="9">
        <v>70</v>
      </c>
      <c r="B25" s="10">
        <f t="shared" si="0"/>
        <v>40</v>
      </c>
      <c r="C25" s="11">
        <f>C24</f>
        <v>0.05</v>
      </c>
      <c r="D25" s="11">
        <f t="shared" si="3"/>
        <v>0.998060667324246</v>
      </c>
      <c r="E25" s="11">
        <f t="shared" si="4"/>
        <v>0.567401574305417</v>
      </c>
      <c r="F25" s="11">
        <f t="shared" si="3"/>
        <v>1.0275840883775056</v>
      </c>
      <c r="G25" s="11">
        <f t="shared" si="4"/>
        <v>0.5841857600096904</v>
      </c>
      <c r="H25" s="11">
        <f t="shared" si="3"/>
        <v>1.0767897901329375</v>
      </c>
      <c r="I25" s="11">
        <f t="shared" si="1"/>
        <v>0.6121594028501457</v>
      </c>
      <c r="J25" s="11">
        <f t="shared" si="3"/>
        <v>1.1752011936438014</v>
      </c>
      <c r="K25" s="12">
        <f t="shared" si="2"/>
        <v>0.6681066885310561</v>
      </c>
    </row>
    <row r="26" spans="1:11" ht="16.5" thickBot="1">
      <c r="A26" s="17">
        <v>80</v>
      </c>
      <c r="B26" s="18">
        <f t="shared" si="0"/>
        <v>50</v>
      </c>
      <c r="C26" s="19">
        <f>C24</f>
        <v>0.05</v>
      </c>
      <c r="D26" s="19">
        <f t="shared" si="3"/>
        <v>1.4195196367298781</v>
      </c>
      <c r="E26" s="19">
        <f t="shared" si="4"/>
        <v>0.8070027233888769</v>
      </c>
      <c r="F26" s="19">
        <f t="shared" si="3"/>
        <v>1.4935281465274264</v>
      </c>
      <c r="G26" s="19">
        <f t="shared" si="4"/>
        <v>0.84907686411592</v>
      </c>
      <c r="H26" s="19">
        <f t="shared" si="3"/>
        <v>1.6267434641630132</v>
      </c>
      <c r="I26" s="19">
        <f t="shared" si="1"/>
        <v>0.9248103174245973</v>
      </c>
      <c r="J26" s="19">
        <f t="shared" si="3"/>
        <v>1.9375792053127157</v>
      </c>
      <c r="K26" s="20">
        <f t="shared" si="2"/>
        <v>1.1015217084781779</v>
      </c>
    </row>
    <row r="27" ht="13.5" thickTop="1"/>
  </sheetData>
  <mergeCells count="1">
    <mergeCell ref="A3:K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xSplit="1" ySplit="9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Q27"/>
    </sheetView>
  </sheetViews>
  <sheetFormatPr defaultColWidth="11.421875" defaultRowHeight="12.75"/>
  <cols>
    <col min="1" max="9" width="7.28125" style="0" customWidth="1"/>
    <col min="10" max="10" width="7.7109375" style="0" customWidth="1"/>
    <col min="11" max="17" width="8.421875" style="0" customWidth="1"/>
  </cols>
  <sheetData>
    <row r="1" ht="12.75">
      <c r="A1" s="1"/>
    </row>
    <row r="2" ht="13.5" thickBot="1"/>
    <row r="3" spans="1:17" ht="60" customHeight="1" thickTop="1">
      <c r="A3" s="98" t="s">
        <v>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1"/>
      <c r="P3" s="91"/>
      <c r="Q3" s="99"/>
    </row>
    <row r="4" spans="1:17" ht="19.5" customHeight="1">
      <c r="A4" s="73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4"/>
      <c r="N4" s="4"/>
      <c r="O4" s="4"/>
      <c r="P4" s="4"/>
      <c r="Q4" s="5"/>
    </row>
    <row r="5" spans="1:17" ht="15">
      <c r="A5" s="6" t="s">
        <v>15</v>
      </c>
      <c r="B5" s="7" t="s">
        <v>16</v>
      </c>
      <c r="C5" s="23" t="s">
        <v>47</v>
      </c>
      <c r="D5" s="23" t="s">
        <v>48</v>
      </c>
      <c r="E5" s="4"/>
      <c r="F5" s="7" t="s">
        <v>27</v>
      </c>
      <c r="H5" s="3"/>
      <c r="I5" s="3"/>
      <c r="J5" s="3"/>
      <c r="K5" s="3"/>
      <c r="L5" s="3"/>
      <c r="M5" s="4"/>
      <c r="N5" s="4"/>
      <c r="O5" s="4"/>
      <c r="P5" s="4"/>
      <c r="Q5" s="5"/>
    </row>
    <row r="6" spans="1:17" ht="15">
      <c r="A6" s="6">
        <v>20</v>
      </c>
      <c r="B6" s="7">
        <v>30</v>
      </c>
      <c r="C6" s="11">
        <v>0.02</v>
      </c>
      <c r="D6" s="7">
        <v>5</v>
      </c>
      <c r="E6" s="24">
        <f>-LN(F10)/B6</f>
        <v>0.07675283643313485</v>
      </c>
      <c r="F6" s="24">
        <v>0.05</v>
      </c>
      <c r="H6" s="7"/>
      <c r="I6" s="7"/>
      <c r="J6" s="7"/>
      <c r="K6" s="7"/>
      <c r="L6" s="7"/>
      <c r="M6" s="4"/>
      <c r="N6" s="4"/>
      <c r="O6" s="4"/>
      <c r="P6" s="4"/>
      <c r="Q6" s="5"/>
    </row>
    <row r="7" spans="1:17" ht="19.5">
      <c r="A7" s="6" t="s">
        <v>33</v>
      </c>
      <c r="B7" s="23" t="s">
        <v>18</v>
      </c>
      <c r="C7" s="23" t="s">
        <v>28</v>
      </c>
      <c r="D7" s="23" t="s">
        <v>29</v>
      </c>
      <c r="E7" s="23" t="s">
        <v>52</v>
      </c>
      <c r="F7" s="23"/>
      <c r="G7" s="4"/>
      <c r="H7" s="4"/>
      <c r="I7" s="23"/>
      <c r="J7" s="23"/>
      <c r="K7" s="23"/>
      <c r="L7" s="23"/>
      <c r="M7" s="4"/>
      <c r="N7" s="4"/>
      <c r="O7" s="4"/>
      <c r="P7" s="4"/>
      <c r="Q7" s="5"/>
    </row>
    <row r="8" spans="1:17" ht="15">
      <c r="A8" s="6">
        <v>60</v>
      </c>
      <c r="B8" s="11">
        <v>0.3</v>
      </c>
      <c r="C8" s="11">
        <f>1-B8</f>
        <v>0.7</v>
      </c>
      <c r="D8" s="11">
        <v>1</v>
      </c>
      <c r="E8" s="11">
        <v>0.1</v>
      </c>
      <c r="F8" s="11"/>
      <c r="G8" s="4"/>
      <c r="H8" s="4"/>
      <c r="I8" s="11"/>
      <c r="J8" s="11"/>
      <c r="K8" s="11"/>
      <c r="L8" s="11"/>
      <c r="M8" s="4"/>
      <c r="N8" s="4"/>
      <c r="O8" s="4"/>
      <c r="P8" s="4"/>
      <c r="Q8" s="5"/>
    </row>
    <row r="9" spans="1:18" ht="19.5">
      <c r="A9" s="6" t="s">
        <v>20</v>
      </c>
      <c r="B9" s="7" t="s">
        <v>21</v>
      </c>
      <c r="C9" s="7" t="s">
        <v>22</v>
      </c>
      <c r="D9" s="7" t="s">
        <v>27</v>
      </c>
      <c r="E9" s="7" t="s">
        <v>25</v>
      </c>
      <c r="F9" s="23" t="s">
        <v>52</v>
      </c>
      <c r="G9" s="7" t="s">
        <v>26</v>
      </c>
      <c r="H9" s="7" t="s">
        <v>36</v>
      </c>
      <c r="I9" s="7" t="s">
        <v>53</v>
      </c>
      <c r="J9" s="7" t="s">
        <v>54</v>
      </c>
      <c r="K9" s="23" t="s">
        <v>4</v>
      </c>
      <c r="L9" s="23" t="s">
        <v>11</v>
      </c>
      <c r="M9" s="23" t="s">
        <v>12</v>
      </c>
      <c r="N9" s="23" t="s">
        <v>13</v>
      </c>
      <c r="O9" s="33" t="s">
        <v>24</v>
      </c>
      <c r="P9" s="23" t="s">
        <v>17</v>
      </c>
      <c r="R9" s="63"/>
    </row>
    <row r="10" spans="1:17" ht="15">
      <c r="A10" s="144">
        <v>60</v>
      </c>
      <c r="B10" s="145">
        <f aca="true" t="shared" si="0" ref="B10:B27">A10-B$6</f>
        <v>30</v>
      </c>
      <c r="C10" s="166">
        <v>0</v>
      </c>
      <c r="D10" s="166">
        <f aca="true" t="shared" si="1" ref="D10:D27">F$6+0.00001</f>
        <v>0.050010000000000006</v>
      </c>
      <c r="E10" s="166">
        <f aca="true" t="shared" si="2" ref="E10:E27">D10-C10</f>
        <v>0.050010000000000006</v>
      </c>
      <c r="F10" s="166">
        <f>E$8</f>
        <v>0.1</v>
      </c>
      <c r="G10" s="166">
        <f>(EXP($E10*($B10-$A$6))-EXP(-$E10*($A$8-$B10))+D$8*(EXP(-$E10*($A$8-$B10))-EXP(-$E10*$B$6)))/($E10*($A10-$A$6))</f>
        <v>0.7127689061841835</v>
      </c>
      <c r="H10" s="166">
        <f>F10*EXP($E10*$B$6)*G10*$C$8/(1-F10*EXP($E10*$B$6))</f>
        <v>0.4054324185266649</v>
      </c>
      <c r="I10" s="166">
        <f>(D10-C$6)/D$6</f>
        <v>0.006002000000000001</v>
      </c>
      <c r="J10" s="166">
        <f>1-(1-F10)*((D10-I10)*(1-EXP(-E10*(A10-A$6))))/(E10*(1-EXP(-(D10-I10)*(A10-A$6))))</f>
        <v>0.17290283746031265</v>
      </c>
      <c r="K10" s="166">
        <f>(C$8/(A10-A$6))*((EXP(E10*(A10-A$6))-1-E10*(A10-A$6))/(E10^2)-(1-J10)*((EXP(E10*(A10-A$6))-1)/E10-(1-EXP(-(C10-I10)*(A10-A$6)))/(C10-I10))/(D10-I10))</f>
        <v>3.560394736391531</v>
      </c>
      <c r="L10" s="166">
        <f>H10*(((EXP(E10*B$6)-1)/E10)-((1-F10)/(1-EXP(-(D10-I10)*B$6))*(((EXP(E10*B$6)-1)/E10)-(1-EXP(-(C10-I10)*B$6))/(C10-I10))))</f>
        <v>9.928003803749492</v>
      </c>
      <c r="M10" s="166">
        <f>K10+L10</f>
        <v>13.488398540141024</v>
      </c>
      <c r="N10" s="148">
        <f>B$8/D10</f>
        <v>5.998800239952009</v>
      </c>
      <c r="O10" s="148">
        <f aca="true" t="shared" si="3" ref="O10:O27">H10/(M10/(A10-A$6))</f>
        <v>1.2023144699353643</v>
      </c>
      <c r="P10" s="166">
        <f aca="true" t="shared" si="4" ref="P10:P27">M10/(1+D10*(M10-N10))</f>
        <v>9.812921559964687</v>
      </c>
      <c r="Q10" s="172">
        <f aca="true" t="shared" si="5" ref="Q10:Q27">H10/(1+D10*(M10-N10))</f>
        <v>0.29495543959715625</v>
      </c>
    </row>
    <row r="11" spans="1:17" ht="15">
      <c r="A11" s="9">
        <v>70</v>
      </c>
      <c r="B11" s="10">
        <f t="shared" si="0"/>
        <v>40</v>
      </c>
      <c r="C11" s="11">
        <f>C10</f>
        <v>0</v>
      </c>
      <c r="D11" s="11">
        <f t="shared" si="1"/>
        <v>0.050010000000000006</v>
      </c>
      <c r="E11" s="11">
        <f t="shared" si="2"/>
        <v>0.050010000000000006</v>
      </c>
      <c r="F11" s="11">
        <f aca="true" t="shared" si="6" ref="F11:F27">E$8</f>
        <v>0.1</v>
      </c>
      <c r="G11" s="11">
        <f aca="true" t="shared" si="7" ref="G11:G27">(EXP($E11*($B11-$A$6))-EXP(-$E11*($A$8-$B11))+D$8*(EXP(-$E11*($A$8-$B11))-EXP(-$E11*$B$6)))/($E11*($A11-$A$6))</f>
        <v>0.9981053021610716</v>
      </c>
      <c r="H11" s="11">
        <f aca="true" t="shared" si="8" ref="H11:H27">F11*EXP($E11*$B$6)*G11*$C$8/(1-F11*EXP($E11*$B$6))</f>
        <v>0.5677355494725852</v>
      </c>
      <c r="I11" s="11">
        <f aca="true" t="shared" si="9" ref="I11:I27">(D11-C$6)/D$6</f>
        <v>0.006002000000000001</v>
      </c>
      <c r="J11" s="11">
        <f aca="true" t="shared" si="10" ref="J11:J27">1-(1-F11)*((D11-I11)*(1-EXP(-E11*(A11-A$6))))/(E11*(1-EXP(-(D11-I11)*(A11-A$6))))</f>
        <v>0.18244003957834265</v>
      </c>
      <c r="K11" s="11">
        <f aca="true" t="shared" si="11" ref="K11:K27">(C$8/(A11-A$6))*((EXP(E11*(A11-A$6))-1-E11*(A11-A$6))/(E11^2)-(1-J11)*((EXP(E11*(A11-A$6))-1)/E11-(1-EXP(-(C11-I11)*(A11-A$6)))/(C11-I11))/(D11-I11))</f>
        <v>5.612026509114788</v>
      </c>
      <c r="L11" s="11">
        <f aca="true" t="shared" si="12" ref="L11:L27">H11*(((EXP(E11*B$6)-1)/E11)-((1-F11)/(1-EXP(-(D11-I11)*B$6))*(((EXP(E11*B$6)-1)/E11)-(1-EXP(-(C11-I11)*B$6))/(C11-I11))))</f>
        <v>13.902392697580812</v>
      </c>
      <c r="M11" s="11">
        <f aca="true" t="shared" si="13" ref="M11:M27">K11+L11</f>
        <v>19.5144192066956</v>
      </c>
      <c r="N11" s="11">
        <f aca="true" t="shared" si="14" ref="N11:N27">B$8/D11</f>
        <v>5.998800239952009</v>
      </c>
      <c r="O11" s="11">
        <f t="shared" si="3"/>
        <v>1.4546565374535698</v>
      </c>
      <c r="P11" s="11">
        <f t="shared" si="4"/>
        <v>11.644031078873729</v>
      </c>
      <c r="Q11" s="12">
        <f t="shared" si="5"/>
        <v>0.3387613186239242</v>
      </c>
    </row>
    <row r="12" spans="1:17" ht="15.75">
      <c r="A12" s="13">
        <v>80</v>
      </c>
      <c r="B12" s="14">
        <f t="shared" si="0"/>
        <v>50</v>
      </c>
      <c r="C12" s="15">
        <f>C10</f>
        <v>0</v>
      </c>
      <c r="D12" s="15">
        <f t="shared" si="1"/>
        <v>0.050010000000000006</v>
      </c>
      <c r="E12" s="15">
        <f t="shared" si="2"/>
        <v>0.050010000000000006</v>
      </c>
      <c r="F12" s="15">
        <f t="shared" si="6"/>
        <v>0.1</v>
      </c>
      <c r="G12" s="15">
        <f t="shared" si="7"/>
        <v>1.4197062412901105</v>
      </c>
      <c r="H12" s="15">
        <f t="shared" si="8"/>
        <v>0.8075477619879695</v>
      </c>
      <c r="I12" s="15">
        <f t="shared" si="9"/>
        <v>0.006002000000000001</v>
      </c>
      <c r="J12" s="15">
        <f t="shared" si="10"/>
        <v>0.18961934657585366</v>
      </c>
      <c r="K12" s="15">
        <f t="shared" si="11"/>
        <v>8.565873960829013</v>
      </c>
      <c r="L12" s="15">
        <f t="shared" si="12"/>
        <v>19.774780916288908</v>
      </c>
      <c r="M12" s="15">
        <f t="shared" si="13"/>
        <v>28.34065487711792</v>
      </c>
      <c r="N12" s="15">
        <f t="shared" si="14"/>
        <v>5.998800239952009</v>
      </c>
      <c r="O12" s="15">
        <f t="shared" si="3"/>
        <v>1.7096593543573593</v>
      </c>
      <c r="P12" s="15">
        <f t="shared" si="4"/>
        <v>13.385178624222641</v>
      </c>
      <c r="Q12" s="16">
        <f t="shared" si="5"/>
        <v>0.38140159741077345</v>
      </c>
    </row>
    <row r="13" spans="1:17" ht="15">
      <c r="A13" s="152">
        <v>60</v>
      </c>
      <c r="B13" s="153">
        <f t="shared" si="0"/>
        <v>30</v>
      </c>
      <c r="C13" s="168">
        <v>0.01</v>
      </c>
      <c r="D13" s="168">
        <f t="shared" si="1"/>
        <v>0.050010000000000006</v>
      </c>
      <c r="E13" s="168">
        <f t="shared" si="2"/>
        <v>0.040010000000000004</v>
      </c>
      <c r="F13" s="168">
        <f t="shared" si="6"/>
        <v>0.1</v>
      </c>
      <c r="G13" s="168">
        <f t="shared" si="7"/>
        <v>0.7441077357969219</v>
      </c>
      <c r="H13" s="168">
        <f t="shared" si="8"/>
        <v>0.25900815449620684</v>
      </c>
      <c r="I13" s="168">
        <f t="shared" si="9"/>
        <v>0.006002000000000001</v>
      </c>
      <c r="J13" s="168">
        <f t="shared" si="10"/>
        <v>0.045726084427517466</v>
      </c>
      <c r="K13" s="168">
        <f t="shared" si="11"/>
        <v>2.2570532314450666</v>
      </c>
      <c r="L13" s="168">
        <f t="shared" si="12"/>
        <v>5.566316445587451</v>
      </c>
      <c r="M13" s="168">
        <f t="shared" si="13"/>
        <v>7.823369677032518</v>
      </c>
      <c r="N13" s="168">
        <f t="shared" si="14"/>
        <v>5.998800239952009</v>
      </c>
      <c r="O13" s="168">
        <f t="shared" si="3"/>
        <v>1.324279256579634</v>
      </c>
      <c r="P13" s="168">
        <f t="shared" si="4"/>
        <v>7.169203399400425</v>
      </c>
      <c r="Q13" s="170">
        <f t="shared" si="5"/>
        <v>0.23735068370065449</v>
      </c>
    </row>
    <row r="14" spans="1:17" ht="15">
      <c r="A14" s="9">
        <v>70</v>
      </c>
      <c r="B14" s="10">
        <f t="shared" si="0"/>
        <v>40</v>
      </c>
      <c r="C14" s="11">
        <f>C13</f>
        <v>0.01</v>
      </c>
      <c r="D14" s="11">
        <f t="shared" si="1"/>
        <v>0.050010000000000006</v>
      </c>
      <c r="E14" s="11">
        <f t="shared" si="2"/>
        <v>0.040010000000000004</v>
      </c>
      <c r="F14" s="11">
        <f t="shared" si="6"/>
        <v>0.1</v>
      </c>
      <c r="G14" s="11">
        <f t="shared" si="7"/>
        <v>0.9622005568562556</v>
      </c>
      <c r="H14" s="11">
        <f t="shared" si="8"/>
        <v>0.3349216497791881</v>
      </c>
      <c r="I14" s="11">
        <f t="shared" si="9"/>
        <v>0.006002000000000001</v>
      </c>
      <c r="J14" s="11">
        <f t="shared" si="10"/>
        <v>0.037351470877394766</v>
      </c>
      <c r="K14" s="11">
        <f t="shared" si="11"/>
        <v>3.3607825894801686</v>
      </c>
      <c r="L14" s="11">
        <f t="shared" si="12"/>
        <v>7.197765223938066</v>
      </c>
      <c r="M14" s="11">
        <f t="shared" si="13"/>
        <v>10.558547813418235</v>
      </c>
      <c r="N14" s="11">
        <f t="shared" si="14"/>
        <v>5.998800239952009</v>
      </c>
      <c r="O14" s="11">
        <f t="shared" si="3"/>
        <v>1.5860213719615683</v>
      </c>
      <c r="P14" s="11">
        <f t="shared" si="4"/>
        <v>8.597935086831697</v>
      </c>
      <c r="Q14" s="12">
        <f t="shared" si="5"/>
        <v>0.27273017604906624</v>
      </c>
    </row>
    <row r="15" spans="1:17" ht="15.75">
      <c r="A15" s="159">
        <v>80</v>
      </c>
      <c r="B15" s="160">
        <f t="shared" si="0"/>
        <v>50</v>
      </c>
      <c r="C15" s="163">
        <f>C13</f>
        <v>0.01</v>
      </c>
      <c r="D15" s="163">
        <f t="shared" si="1"/>
        <v>0.050010000000000006</v>
      </c>
      <c r="E15" s="163">
        <f t="shared" si="2"/>
        <v>0.040010000000000004</v>
      </c>
      <c r="F15" s="163">
        <f t="shared" si="6"/>
        <v>0.1</v>
      </c>
      <c r="G15" s="163">
        <f t="shared" si="7"/>
        <v>1.2580226776774805</v>
      </c>
      <c r="H15" s="163">
        <f t="shared" si="8"/>
        <v>0.43789106924235327</v>
      </c>
      <c r="I15" s="163">
        <f t="shared" si="9"/>
        <v>0.006002000000000001</v>
      </c>
      <c r="J15" s="163">
        <f t="shared" si="10"/>
        <v>0.03067952304625221</v>
      </c>
      <c r="K15" s="163">
        <f t="shared" si="11"/>
        <v>4.892269272998643</v>
      </c>
      <c r="L15" s="163">
        <f t="shared" si="12"/>
        <v>9.41066996458322</v>
      </c>
      <c r="M15" s="163">
        <f t="shared" si="13"/>
        <v>14.302939237581864</v>
      </c>
      <c r="N15" s="163">
        <f t="shared" si="14"/>
        <v>5.998800239952009</v>
      </c>
      <c r="O15" s="163">
        <f t="shared" si="3"/>
        <v>1.8369276215273316</v>
      </c>
      <c r="P15" s="163">
        <f t="shared" si="4"/>
        <v>10.106013132144303</v>
      </c>
      <c r="Q15" s="164">
        <f t="shared" si="5"/>
        <v>0.30940024443256353</v>
      </c>
    </row>
    <row r="16" spans="1:17" ht="15">
      <c r="A16" s="9">
        <v>60</v>
      </c>
      <c r="B16" s="10">
        <f t="shared" si="0"/>
        <v>30</v>
      </c>
      <c r="C16" s="11">
        <v>0.02001</v>
      </c>
      <c r="D16" s="11">
        <f t="shared" si="1"/>
        <v>0.050010000000000006</v>
      </c>
      <c r="E16" s="11">
        <f t="shared" si="2"/>
        <v>0.030000000000000006</v>
      </c>
      <c r="F16" s="11">
        <f t="shared" si="6"/>
        <v>0.1</v>
      </c>
      <c r="G16" s="11">
        <f t="shared" si="7"/>
        <v>0.7860742898628367</v>
      </c>
      <c r="H16" s="11">
        <f t="shared" si="8"/>
        <v>0.17948677744874555</v>
      </c>
      <c r="I16" s="11">
        <f t="shared" si="9"/>
        <v>0.006002000000000001</v>
      </c>
      <c r="J16" s="11">
        <f t="shared" si="10"/>
        <v>-0.11422706390192827</v>
      </c>
      <c r="K16" s="11">
        <f t="shared" si="11"/>
        <v>1.0822187638371694</v>
      </c>
      <c r="L16" s="11">
        <f t="shared" si="12"/>
        <v>3.4078719034742426</v>
      </c>
      <c r="M16" s="11">
        <f t="shared" si="13"/>
        <v>4.490090667311412</v>
      </c>
      <c r="N16" s="11">
        <f t="shared" si="14"/>
        <v>5.998800239952009</v>
      </c>
      <c r="O16" s="11">
        <f t="shared" si="3"/>
        <v>1.598959047802205</v>
      </c>
      <c r="P16" s="11">
        <f t="shared" si="4"/>
        <v>4.856517673222928</v>
      </c>
      <c r="Q16" s="12">
        <f t="shared" si="5"/>
        <v>0.19413432186027782</v>
      </c>
    </row>
    <row r="17" spans="1:17" ht="15">
      <c r="A17" s="9">
        <v>70</v>
      </c>
      <c r="B17" s="10">
        <f t="shared" si="0"/>
        <v>40</v>
      </c>
      <c r="C17" s="11">
        <f>C16</f>
        <v>0.02001</v>
      </c>
      <c r="D17" s="11">
        <f t="shared" si="1"/>
        <v>0.050010000000000006</v>
      </c>
      <c r="E17" s="11">
        <f t="shared" si="2"/>
        <v>0.030000000000000006</v>
      </c>
      <c r="F17" s="11">
        <f t="shared" si="6"/>
        <v>0.1</v>
      </c>
      <c r="G17" s="11">
        <f t="shared" si="7"/>
        <v>0.9436994270999398</v>
      </c>
      <c r="H17" s="11">
        <f t="shared" si="8"/>
        <v>0.21547781327379537</v>
      </c>
      <c r="I17" s="11">
        <f t="shared" si="9"/>
        <v>0.006002000000000001</v>
      </c>
      <c r="J17" s="11">
        <f t="shared" si="10"/>
        <v>-0.15340437485181524</v>
      </c>
      <c r="K17" s="11">
        <f t="shared" si="11"/>
        <v>1.433895329432731</v>
      </c>
      <c r="L17" s="11">
        <f t="shared" si="12"/>
        <v>4.0912249699704475</v>
      </c>
      <c r="M17" s="11">
        <f t="shared" si="13"/>
        <v>5.525120299403179</v>
      </c>
      <c r="N17" s="11">
        <f t="shared" si="14"/>
        <v>5.998800239952009</v>
      </c>
      <c r="O17" s="11">
        <f t="shared" si="3"/>
        <v>1.949983001248599</v>
      </c>
      <c r="P17" s="11">
        <f t="shared" si="4"/>
        <v>5.659179086460808</v>
      </c>
      <c r="Q17" s="12">
        <f t="shared" si="5"/>
        <v>0.220706060392403</v>
      </c>
    </row>
    <row r="18" spans="1:17" ht="15.75">
      <c r="A18" s="13">
        <v>80</v>
      </c>
      <c r="B18" s="14">
        <f t="shared" si="0"/>
        <v>50</v>
      </c>
      <c r="C18" s="15">
        <f>C16</f>
        <v>0.02001</v>
      </c>
      <c r="D18" s="15">
        <f t="shared" si="1"/>
        <v>0.050010000000000006</v>
      </c>
      <c r="E18" s="15">
        <f t="shared" si="2"/>
        <v>0.030000000000000006</v>
      </c>
      <c r="F18" s="15">
        <f t="shared" si="6"/>
        <v>0.1</v>
      </c>
      <c r="G18" s="15">
        <f t="shared" si="7"/>
        <v>1.1405741396757505</v>
      </c>
      <c r="H18" s="15">
        <f t="shared" si="8"/>
        <v>0.2604308262104558</v>
      </c>
      <c r="I18" s="15">
        <f t="shared" si="9"/>
        <v>0.006002000000000001</v>
      </c>
      <c r="J18" s="15">
        <f t="shared" si="10"/>
        <v>-0.18664570277022974</v>
      </c>
      <c r="K18" s="15">
        <f t="shared" si="11"/>
        <v>1.9408069823829175</v>
      </c>
      <c r="L18" s="15">
        <f t="shared" si="12"/>
        <v>4.9447369218862685</v>
      </c>
      <c r="M18" s="15">
        <f t="shared" si="13"/>
        <v>6.885543904269186</v>
      </c>
      <c r="N18" s="15">
        <f t="shared" si="14"/>
        <v>5.998800239952009</v>
      </c>
      <c r="O18" s="15">
        <f t="shared" si="3"/>
        <v>2.269370407026086</v>
      </c>
      <c r="P18" s="15">
        <f t="shared" si="4"/>
        <v>6.593163156950834</v>
      </c>
      <c r="Q18" s="16">
        <f t="shared" si="5"/>
        <v>0.24937215595131518</v>
      </c>
    </row>
    <row r="19" spans="1:17" ht="15">
      <c r="A19" s="152">
        <v>60</v>
      </c>
      <c r="B19" s="153">
        <f t="shared" si="0"/>
        <v>30</v>
      </c>
      <c r="C19" s="168">
        <v>0.03</v>
      </c>
      <c r="D19" s="168">
        <f t="shared" si="1"/>
        <v>0.050010000000000006</v>
      </c>
      <c r="E19" s="168">
        <f t="shared" si="2"/>
        <v>0.020010000000000007</v>
      </c>
      <c r="F19" s="168">
        <f t="shared" si="6"/>
        <v>0.1</v>
      </c>
      <c r="G19" s="168">
        <f t="shared" si="7"/>
        <v>0.8406770205471649</v>
      </c>
      <c r="H19" s="168">
        <f t="shared" si="8"/>
        <v>0.1311663494227847</v>
      </c>
      <c r="I19" s="168">
        <f t="shared" si="9"/>
        <v>0.006002000000000001</v>
      </c>
      <c r="J19" s="168">
        <f t="shared" si="10"/>
        <v>-0.3168166406134607</v>
      </c>
      <c r="K19" s="168">
        <f t="shared" si="11"/>
        <v>-0.009382993820909177</v>
      </c>
      <c r="L19" s="168">
        <f t="shared" si="12"/>
        <v>2.2152887506217773</v>
      </c>
      <c r="M19" s="168">
        <f t="shared" si="13"/>
        <v>2.205905756800868</v>
      </c>
      <c r="N19" s="168">
        <f t="shared" si="14"/>
        <v>5.998800239952009</v>
      </c>
      <c r="O19" s="168">
        <f t="shared" si="3"/>
        <v>2.37845790135676</v>
      </c>
      <c r="P19" s="168">
        <f t="shared" si="4"/>
        <v>2.7222738908977075</v>
      </c>
      <c r="Q19" s="170">
        <f t="shared" si="5"/>
        <v>0.16187034613657159</v>
      </c>
    </row>
    <row r="20" spans="1:17" ht="15">
      <c r="A20" s="9">
        <v>70</v>
      </c>
      <c r="B20" s="10">
        <f t="shared" si="0"/>
        <v>40</v>
      </c>
      <c r="C20" s="11">
        <f>C19</f>
        <v>0.03</v>
      </c>
      <c r="D20" s="11">
        <f t="shared" si="1"/>
        <v>0.050010000000000006</v>
      </c>
      <c r="E20" s="11">
        <f t="shared" si="2"/>
        <v>0.020010000000000007</v>
      </c>
      <c r="F20" s="11">
        <f t="shared" si="6"/>
        <v>0.1</v>
      </c>
      <c r="G20" s="11">
        <f t="shared" si="7"/>
        <v>0.9430045728356115</v>
      </c>
      <c r="H20" s="11">
        <f t="shared" si="8"/>
        <v>0.14713197135724518</v>
      </c>
      <c r="I20" s="11">
        <f t="shared" si="9"/>
        <v>0.006002000000000001</v>
      </c>
      <c r="J20" s="11">
        <f t="shared" si="10"/>
        <v>-0.40745247527102246</v>
      </c>
      <c r="K20" s="11">
        <f t="shared" si="11"/>
        <v>-0.2964960830233526</v>
      </c>
      <c r="L20" s="11">
        <f t="shared" si="12"/>
        <v>2.484934607381032</v>
      </c>
      <c r="M20" s="11">
        <f t="shared" si="13"/>
        <v>2.1884385243576796</v>
      </c>
      <c r="N20" s="11">
        <f t="shared" si="14"/>
        <v>5.998800239952009</v>
      </c>
      <c r="O20" s="11">
        <f t="shared" si="3"/>
        <v>3.3615742393410235</v>
      </c>
      <c r="P20" s="11">
        <f t="shared" si="4"/>
        <v>2.7036324148640336</v>
      </c>
      <c r="Q20" s="12">
        <f t="shared" si="5"/>
        <v>0.18176922156908598</v>
      </c>
    </row>
    <row r="21" spans="1:17" ht="15.75">
      <c r="A21" s="159">
        <v>80</v>
      </c>
      <c r="B21" s="160">
        <f t="shared" si="0"/>
        <v>50</v>
      </c>
      <c r="C21" s="163">
        <f>C19</f>
        <v>0.03</v>
      </c>
      <c r="D21" s="163">
        <f t="shared" si="1"/>
        <v>0.050010000000000006</v>
      </c>
      <c r="E21" s="163">
        <f t="shared" si="2"/>
        <v>0.020010000000000007</v>
      </c>
      <c r="F21" s="163">
        <f t="shared" si="6"/>
        <v>0.1</v>
      </c>
      <c r="G21" s="163">
        <f t="shared" si="7"/>
        <v>1.0611515081933365</v>
      </c>
      <c r="H21" s="163">
        <f t="shared" si="8"/>
        <v>0.16556580721524944</v>
      </c>
      <c r="I21" s="163">
        <f t="shared" si="9"/>
        <v>0.006002000000000001</v>
      </c>
      <c r="J21" s="163">
        <f t="shared" si="10"/>
        <v>-0.4898172626123656</v>
      </c>
      <c r="K21" s="163">
        <f t="shared" si="11"/>
        <v>-0.5975092050628185</v>
      </c>
      <c r="L21" s="163">
        <f t="shared" si="12"/>
        <v>2.7962665106226083</v>
      </c>
      <c r="M21" s="163">
        <f t="shared" si="13"/>
        <v>2.19875730555979</v>
      </c>
      <c r="N21" s="163">
        <f t="shared" si="14"/>
        <v>5.998800239952009</v>
      </c>
      <c r="O21" s="163">
        <f t="shared" si="3"/>
        <v>4.517983138837528</v>
      </c>
      <c r="P21" s="163">
        <f t="shared" si="4"/>
        <v>2.7146497419843727</v>
      </c>
      <c r="Q21" s="164">
        <f t="shared" si="5"/>
        <v>0.2044123627022507</v>
      </c>
    </row>
    <row r="22" spans="1:17" ht="15">
      <c r="A22" s="9">
        <v>60</v>
      </c>
      <c r="B22" s="10">
        <f t="shared" si="0"/>
        <v>30</v>
      </c>
      <c r="C22" s="11">
        <v>0.04</v>
      </c>
      <c r="D22" s="11">
        <f t="shared" si="1"/>
        <v>0.050010000000000006</v>
      </c>
      <c r="E22" s="11">
        <f t="shared" si="2"/>
        <v>0.010010000000000005</v>
      </c>
      <c r="F22" s="11">
        <f t="shared" si="6"/>
        <v>0.1</v>
      </c>
      <c r="G22" s="11">
        <f t="shared" si="7"/>
        <v>0.9108027775836517</v>
      </c>
      <c r="H22" s="11">
        <f t="shared" si="8"/>
        <v>0.09952636853805631</v>
      </c>
      <c r="I22" s="11">
        <f t="shared" si="9"/>
        <v>0.006002000000000001</v>
      </c>
      <c r="J22" s="11">
        <f t="shared" si="10"/>
        <v>-0.5767031100434956</v>
      </c>
      <c r="K22" s="11">
        <f t="shared" si="11"/>
        <v>-1.0634561931368836</v>
      </c>
      <c r="L22" s="11">
        <f t="shared" si="12"/>
        <v>1.5045554080187107</v>
      </c>
      <c r="M22" s="11">
        <f t="shared" si="13"/>
        <v>0.44109921488182713</v>
      </c>
      <c r="N22" s="11">
        <f t="shared" si="14"/>
        <v>5.998800239952009</v>
      </c>
      <c r="O22" s="11">
        <f t="shared" si="3"/>
        <v>9.025304528344714</v>
      </c>
      <c r="P22" s="11">
        <f t="shared" si="4"/>
        <v>0.6108905058889749</v>
      </c>
      <c r="Q22" s="12">
        <f t="shared" si="5"/>
        <v>0.13783682122806395</v>
      </c>
    </row>
    <row r="23" spans="1:17" ht="15.75">
      <c r="A23" s="9">
        <v>70</v>
      </c>
      <c r="B23" s="10">
        <f t="shared" si="0"/>
        <v>40</v>
      </c>
      <c r="C23" s="11">
        <f>C22</f>
        <v>0.04</v>
      </c>
      <c r="D23" s="11">
        <f t="shared" si="1"/>
        <v>0.050010000000000006</v>
      </c>
      <c r="E23" s="11">
        <f t="shared" si="2"/>
        <v>0.010010000000000005</v>
      </c>
      <c r="F23" s="11">
        <f t="shared" si="6"/>
        <v>0.1</v>
      </c>
      <c r="G23" s="11">
        <f t="shared" si="7"/>
        <v>0.9611409682167547</v>
      </c>
      <c r="H23" s="11">
        <f t="shared" si="8"/>
        <v>0.10502698561542245</v>
      </c>
      <c r="I23" s="11">
        <f t="shared" si="9"/>
        <v>0.006002000000000001</v>
      </c>
      <c r="J23" s="11">
        <f t="shared" si="10"/>
        <v>-0.7521283878264311</v>
      </c>
      <c r="K23" s="11">
        <f t="shared" si="11"/>
        <v>-1.944854383291791</v>
      </c>
      <c r="L23" s="11">
        <f t="shared" si="12"/>
        <v>1.5877090816908972</v>
      </c>
      <c r="M23" s="11">
        <f t="shared" si="13"/>
        <v>-0.35714530160089386</v>
      </c>
      <c r="N23" s="11">
        <f t="shared" si="14"/>
        <v>5.998800239952009</v>
      </c>
      <c r="O23" s="174">
        <f t="shared" si="3"/>
        <v>-14.703677347096814</v>
      </c>
      <c r="P23" s="11">
        <f t="shared" si="4"/>
        <v>-0.5235666279380883</v>
      </c>
      <c r="Q23" s="12">
        <f t="shared" si="5"/>
        <v>0.1539670953381827</v>
      </c>
    </row>
    <row r="24" spans="1:17" ht="15.75">
      <c r="A24" s="13">
        <v>80</v>
      </c>
      <c r="B24" s="14">
        <f t="shared" si="0"/>
        <v>50</v>
      </c>
      <c r="C24" s="15">
        <f>C22</f>
        <v>0.04</v>
      </c>
      <c r="D24" s="15">
        <f t="shared" si="1"/>
        <v>0.050010000000000006</v>
      </c>
      <c r="E24" s="15">
        <f t="shared" si="2"/>
        <v>0.010010000000000005</v>
      </c>
      <c r="F24" s="15">
        <f t="shared" si="6"/>
        <v>0.1</v>
      </c>
      <c r="G24" s="15">
        <f t="shared" si="7"/>
        <v>1.0150979311005617</v>
      </c>
      <c r="H24" s="15">
        <f t="shared" si="8"/>
        <v>0.11092303765361992</v>
      </c>
      <c r="I24" s="15">
        <f t="shared" si="9"/>
        <v>0.006002000000000001</v>
      </c>
      <c r="J24" s="15">
        <f t="shared" si="10"/>
        <v>-0.9237644443870534</v>
      </c>
      <c r="K24" s="15">
        <f t="shared" si="11"/>
        <v>-2.9719981472999635</v>
      </c>
      <c r="L24" s="15">
        <f t="shared" si="12"/>
        <v>1.6768406064348924</v>
      </c>
      <c r="M24" s="15">
        <f t="shared" si="13"/>
        <v>-1.295157540865071</v>
      </c>
      <c r="N24" s="15">
        <f t="shared" si="14"/>
        <v>5.998800239952009</v>
      </c>
      <c r="O24" s="15">
        <f t="shared" si="3"/>
        <v>-5.138666184788519</v>
      </c>
      <c r="P24" s="15">
        <f t="shared" si="4"/>
        <v>-2.0388823423343196</v>
      </c>
      <c r="Q24" s="16">
        <f t="shared" si="5"/>
        <v>0.17461892912192964</v>
      </c>
    </row>
    <row r="25" spans="1:17" ht="15">
      <c r="A25" s="152">
        <v>60</v>
      </c>
      <c r="B25" s="153">
        <f t="shared" si="0"/>
        <v>30</v>
      </c>
      <c r="C25" s="168">
        <v>0.05</v>
      </c>
      <c r="D25" s="168">
        <f t="shared" si="1"/>
        <v>0.050010000000000006</v>
      </c>
      <c r="E25" s="168">
        <f t="shared" si="2"/>
        <v>1.0000000000003062E-05</v>
      </c>
      <c r="F25" s="168">
        <f t="shared" si="6"/>
        <v>0.1</v>
      </c>
      <c r="G25" s="168">
        <f t="shared" si="7"/>
        <v>0.9999000116658598</v>
      </c>
      <c r="H25" s="168">
        <f t="shared" si="8"/>
        <v>0.0777959289942686</v>
      </c>
      <c r="I25" s="168">
        <f t="shared" si="9"/>
        <v>0.006002000000000001</v>
      </c>
      <c r="J25" s="168">
        <f t="shared" si="10"/>
        <v>-0.9129851535668863</v>
      </c>
      <c r="K25" s="168">
        <f t="shared" si="11"/>
        <v>-2.117762324540654</v>
      </c>
      <c r="L25" s="168">
        <f t="shared" si="12"/>
        <v>1.059091199046211</v>
      </c>
      <c r="M25" s="168">
        <f t="shared" si="13"/>
        <v>-1.0586711254944428</v>
      </c>
      <c r="N25" s="168">
        <f t="shared" si="14"/>
        <v>5.998800239952009</v>
      </c>
      <c r="O25" s="168">
        <f t="shared" si="3"/>
        <v>-2.9393804032554383</v>
      </c>
      <c r="P25" s="168">
        <f t="shared" si="4"/>
        <v>-1.6361356040881945</v>
      </c>
      <c r="Q25" s="170">
        <f t="shared" si="5"/>
        <v>0.12023062329313343</v>
      </c>
    </row>
    <row r="26" spans="1:17" ht="15">
      <c r="A26" s="9">
        <v>70</v>
      </c>
      <c r="B26" s="10">
        <f t="shared" si="0"/>
        <v>40</v>
      </c>
      <c r="C26" s="11">
        <f>C25</f>
        <v>0.05</v>
      </c>
      <c r="D26" s="11">
        <f t="shared" si="1"/>
        <v>0.050010000000000006</v>
      </c>
      <c r="E26" s="11">
        <f t="shared" si="2"/>
        <v>1.0000000000003062E-05</v>
      </c>
      <c r="F26" s="11">
        <f t="shared" si="6"/>
        <v>0.1</v>
      </c>
      <c r="G26" s="11">
        <f t="shared" si="7"/>
        <v>0.9999500116661111</v>
      </c>
      <c r="H26" s="11">
        <f t="shared" si="8"/>
        <v>0.07779981917971102</v>
      </c>
      <c r="I26" s="11">
        <f t="shared" si="9"/>
        <v>0.006002000000000001</v>
      </c>
      <c r="J26" s="11">
        <f t="shared" si="10"/>
        <v>-1.226465771983836</v>
      </c>
      <c r="K26" s="11">
        <f t="shared" si="11"/>
        <v>-3.6061836256172652</v>
      </c>
      <c r="L26" s="11">
        <f t="shared" si="12"/>
        <v>1.0591441589017971</v>
      </c>
      <c r="M26" s="11">
        <f t="shared" si="13"/>
        <v>-2.547039466715468</v>
      </c>
      <c r="N26" s="11">
        <f t="shared" si="14"/>
        <v>5.998800239952009</v>
      </c>
      <c r="O26" s="11">
        <f t="shared" si="3"/>
        <v>-1.527259789186496</v>
      </c>
      <c r="P26" s="11">
        <f t="shared" si="4"/>
        <v>-4.448025036436847</v>
      </c>
      <c r="Q26" s="12">
        <f t="shared" si="5"/>
        <v>0.13586579558889592</v>
      </c>
    </row>
    <row r="27" spans="1:17" ht="16.5" thickBot="1">
      <c r="A27" s="17">
        <v>80</v>
      </c>
      <c r="B27" s="18">
        <f t="shared" si="0"/>
        <v>50</v>
      </c>
      <c r="C27" s="19">
        <f>C25</f>
        <v>0.05</v>
      </c>
      <c r="D27" s="19">
        <f t="shared" si="1"/>
        <v>0.050010000000000006</v>
      </c>
      <c r="E27" s="19">
        <f t="shared" si="2"/>
        <v>1.0000000000003062E-05</v>
      </c>
      <c r="F27" s="19">
        <f t="shared" si="6"/>
        <v>0.1</v>
      </c>
      <c r="G27" s="19">
        <f t="shared" si="7"/>
        <v>1.000000015000177</v>
      </c>
      <c r="H27" s="19">
        <f t="shared" si="8"/>
        <v>0.07780370962453659</v>
      </c>
      <c r="I27" s="19">
        <f t="shared" si="9"/>
        <v>0.006002000000000001</v>
      </c>
      <c r="J27" s="173">
        <f t="shared" si="10"/>
        <v>-1.558187085549633</v>
      </c>
      <c r="K27" s="19">
        <f t="shared" si="11"/>
        <v>-5.385163631543705</v>
      </c>
      <c r="L27" s="19">
        <f t="shared" si="12"/>
        <v>1.0591971222885503</v>
      </c>
      <c r="M27" s="19">
        <f t="shared" si="13"/>
        <v>-4.325966509255155</v>
      </c>
      <c r="N27" s="19">
        <f t="shared" si="14"/>
        <v>5.998800239952009</v>
      </c>
      <c r="O27" s="19">
        <f t="shared" si="3"/>
        <v>-1.0791166708028839</v>
      </c>
      <c r="P27" s="19">
        <f t="shared" si="4"/>
        <v>-8.94425978383666</v>
      </c>
      <c r="Q27" s="20">
        <f t="shared" si="5"/>
        <v>0.16086499734549894</v>
      </c>
    </row>
    <row r="28" ht="13.5" thickTop="1"/>
  </sheetData>
  <mergeCells count="1">
    <mergeCell ref="A3:Q3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4"/>
  <legacyDrawing r:id="rId3"/>
  <oleObjects>
    <oleObject progId="Equation.3" shapeId="45904083" r:id="rId1"/>
    <oleObject progId="Equation.3" shapeId="52124023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xSplit="1" ySplit="9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Q27"/>
    </sheetView>
  </sheetViews>
  <sheetFormatPr defaultColWidth="11.421875" defaultRowHeight="12.75"/>
  <cols>
    <col min="1" max="10" width="7.28125" style="0" customWidth="1"/>
    <col min="11" max="17" width="8.7109375" style="0" customWidth="1"/>
  </cols>
  <sheetData>
    <row r="1" ht="12.75">
      <c r="A1" s="1"/>
    </row>
    <row r="2" ht="13.5" thickBot="1"/>
    <row r="3" spans="1:17" ht="60" customHeight="1" thickTop="1">
      <c r="A3" s="98" t="s">
        <v>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1"/>
      <c r="P3" s="91"/>
      <c r="Q3" s="99"/>
    </row>
    <row r="4" spans="1:17" ht="19.5" customHeight="1">
      <c r="A4" s="73"/>
      <c r="B4" s="65"/>
      <c r="C4" s="65"/>
      <c r="D4" s="65"/>
      <c r="G4" s="65"/>
      <c r="H4" s="65"/>
      <c r="I4" s="65"/>
      <c r="J4" s="65"/>
      <c r="K4" s="65"/>
      <c r="L4" s="65"/>
      <c r="M4" s="4"/>
      <c r="N4" s="4"/>
      <c r="O4" s="4"/>
      <c r="P4" s="4"/>
      <c r="Q4" s="5"/>
    </row>
    <row r="5" spans="1:17" ht="15">
      <c r="A5" s="6" t="s">
        <v>15</v>
      </c>
      <c r="B5" s="7" t="s">
        <v>16</v>
      </c>
      <c r="C5" s="4"/>
      <c r="D5" s="7" t="s">
        <v>27</v>
      </c>
      <c r="H5" s="3"/>
      <c r="I5" s="3"/>
      <c r="J5" s="3"/>
      <c r="K5" s="3"/>
      <c r="L5" s="3"/>
      <c r="M5" s="4"/>
      <c r="N5" s="4"/>
      <c r="O5" s="4"/>
      <c r="P5" s="4"/>
      <c r="Q5" s="5"/>
    </row>
    <row r="6" spans="1:17" ht="15">
      <c r="A6" s="6">
        <v>20</v>
      </c>
      <c r="B6" s="7">
        <v>30</v>
      </c>
      <c r="C6" s="24">
        <f>-LN(F10)/B6</f>
        <v>0.07675283643313485</v>
      </c>
      <c r="D6" s="24">
        <v>0.05</v>
      </c>
      <c r="H6" s="7"/>
      <c r="I6" s="7"/>
      <c r="J6" s="7"/>
      <c r="K6" s="7"/>
      <c r="L6" s="7"/>
      <c r="M6" s="4"/>
      <c r="N6" s="4"/>
      <c r="O6" s="4"/>
      <c r="P6" s="4"/>
      <c r="Q6" s="5"/>
    </row>
    <row r="7" spans="1:17" ht="19.5">
      <c r="A7" s="6" t="s">
        <v>33</v>
      </c>
      <c r="B7" s="23" t="s">
        <v>18</v>
      </c>
      <c r="C7" s="23" t="s">
        <v>28</v>
      </c>
      <c r="D7" s="23" t="s">
        <v>29</v>
      </c>
      <c r="E7" s="23" t="s">
        <v>52</v>
      </c>
      <c r="F7" s="23"/>
      <c r="G7" s="4"/>
      <c r="H7" s="4"/>
      <c r="I7" s="23"/>
      <c r="J7" s="23"/>
      <c r="K7" s="23"/>
      <c r="L7" s="23"/>
      <c r="M7" s="4"/>
      <c r="N7" s="4"/>
      <c r="O7" s="4"/>
      <c r="P7" s="4"/>
      <c r="Q7" s="5"/>
    </row>
    <row r="8" spans="1:17" ht="15">
      <c r="A8" s="6">
        <v>60</v>
      </c>
      <c r="B8" s="11">
        <v>0.3</v>
      </c>
      <c r="C8" s="11">
        <f>1-B8</f>
        <v>0.7</v>
      </c>
      <c r="D8" s="11">
        <v>1</v>
      </c>
      <c r="E8" s="11">
        <v>0.1</v>
      </c>
      <c r="F8" s="11"/>
      <c r="G8" s="4"/>
      <c r="H8" s="4"/>
      <c r="I8" s="11"/>
      <c r="J8" s="11"/>
      <c r="K8" s="11"/>
      <c r="L8" s="11"/>
      <c r="M8" s="4"/>
      <c r="N8" s="4"/>
      <c r="O8" s="4"/>
      <c r="P8" s="4"/>
      <c r="Q8" s="5"/>
    </row>
    <row r="9" spans="1:18" ht="19.5">
      <c r="A9" s="6" t="s">
        <v>20</v>
      </c>
      <c r="B9" s="7" t="s">
        <v>21</v>
      </c>
      <c r="C9" s="7" t="s">
        <v>22</v>
      </c>
      <c r="D9" s="7" t="s">
        <v>27</v>
      </c>
      <c r="E9" s="7" t="s">
        <v>25</v>
      </c>
      <c r="F9" s="23" t="s">
        <v>52</v>
      </c>
      <c r="G9" s="7" t="s">
        <v>26</v>
      </c>
      <c r="H9" s="7" t="s">
        <v>36</v>
      </c>
      <c r="I9" s="7" t="s">
        <v>53</v>
      </c>
      <c r="J9" s="7" t="s">
        <v>54</v>
      </c>
      <c r="K9" s="23" t="s">
        <v>4</v>
      </c>
      <c r="L9" s="23" t="s">
        <v>11</v>
      </c>
      <c r="M9" s="23" t="s">
        <v>12</v>
      </c>
      <c r="N9" s="23" t="s">
        <v>13</v>
      </c>
      <c r="O9" s="33" t="s">
        <v>24</v>
      </c>
      <c r="P9" s="23" t="s">
        <v>17</v>
      </c>
      <c r="R9" s="63"/>
    </row>
    <row r="10" spans="1:17" ht="15">
      <c r="A10" s="144">
        <v>60</v>
      </c>
      <c r="B10" s="145">
        <f aca="true" t="shared" si="0" ref="B10:B27">A10-B$6</f>
        <v>30</v>
      </c>
      <c r="C10" s="166">
        <v>0</v>
      </c>
      <c r="D10" s="166">
        <f aca="true" t="shared" si="1" ref="D10:D27">D$6+0.00001</f>
        <v>0.050010000000000006</v>
      </c>
      <c r="E10" s="166">
        <f aca="true" t="shared" si="2" ref="E10:E27">D10-C10</f>
        <v>0.050010000000000006</v>
      </c>
      <c r="F10" s="166">
        <f aca="true" t="shared" si="3" ref="F10:F27">E$8</f>
        <v>0.1</v>
      </c>
      <c r="G10" s="166">
        <f aca="true" t="shared" si="4" ref="G10:G27">(EXP($E10*($B10-$A$6))-EXP(-$E10*($A$8-$B10))+D$8*(EXP(-$E10*($A$8-$B10))-EXP(-$E10*$B$6)))/($E10*($A10-$A$6))</f>
        <v>0.7127689061841835</v>
      </c>
      <c r="H10" s="166">
        <f aca="true" t="shared" si="5" ref="H10:H27">F10*EXP($E10*$B$6)*G10*$C$8/(1-F10*EXP($E10*$B$6))</f>
        <v>0.4054324185266649</v>
      </c>
      <c r="I10" s="166">
        <f>C10-0.00001</f>
        <v>-1E-05</v>
      </c>
      <c r="J10" s="166">
        <f aca="true" t="shared" si="6" ref="J10:J27">1-(1-F10)*((D10-I10)*(1-EXP(-E10*(A10-A$6))))/(E10*(1-EXP(-(D10-I10)*(A10-A$6))))</f>
        <v>0.09987635275832085</v>
      </c>
      <c r="K10" s="166">
        <f aca="true" t="shared" si="7" ref="K10:K27">(C$8/(A10-A$6))*((EXP(E10*(A10-A$6))-1-E10*(A10-A$6))/(E10^2)-(1-J10)*((EXP(E10*(A10-A$6))-1)/E10-(1-EXP(-(C10-I10)*(A10-A$6)))/(C10-I10))/(D10-I10))</f>
        <v>3.0721105450923254</v>
      </c>
      <c r="L10" s="166">
        <f aca="true" t="shared" si="8" ref="L10:L27">H10*(((EXP(E10*B$6)-1)/E10)-((1-F10)/(1-EXP(-(D10-I10)*B$6))*(((EXP(E10*B$6)-1)/E10)-(1-EXP(-(C10-I10)*B$6))/(C10-I10))))</f>
        <v>9.616402764351944</v>
      </c>
      <c r="M10" s="166">
        <f aca="true" t="shared" si="9" ref="M10:M27">K10+L10</f>
        <v>12.68851330944427</v>
      </c>
      <c r="N10" s="148">
        <f aca="true" t="shared" si="10" ref="N10:N27">B$8/D10</f>
        <v>5.998800239952009</v>
      </c>
      <c r="O10" s="148">
        <f aca="true" t="shared" si="11" ref="O10:O27">H10/(M10/(A10-A$6))</f>
        <v>1.2781085021990555</v>
      </c>
      <c r="P10" s="166">
        <f aca="true" t="shared" si="12" ref="P10:P27">M10/(1+D10*(M10-N10))</f>
        <v>9.507691026246354</v>
      </c>
      <c r="Q10" s="172">
        <f aca="true" t="shared" si="13" ref="Q10:Q27">H10/(1+D10*(M10-N10))</f>
        <v>0.3037965184231782</v>
      </c>
    </row>
    <row r="11" spans="1:17" ht="15">
      <c r="A11" s="9">
        <v>70</v>
      </c>
      <c r="B11" s="10">
        <f t="shared" si="0"/>
        <v>40</v>
      </c>
      <c r="C11" s="11">
        <f>C10</f>
        <v>0</v>
      </c>
      <c r="D11" s="11">
        <f t="shared" si="1"/>
        <v>0.050010000000000006</v>
      </c>
      <c r="E11" s="11">
        <f t="shared" si="2"/>
        <v>0.050010000000000006</v>
      </c>
      <c r="F11" s="11">
        <f t="shared" si="3"/>
        <v>0.1</v>
      </c>
      <c r="G11" s="11">
        <f t="shared" si="4"/>
        <v>0.9981053021610716</v>
      </c>
      <c r="H11" s="11">
        <f t="shared" si="5"/>
        <v>0.5677355494725852</v>
      </c>
      <c r="I11" s="11">
        <f aca="true" t="shared" si="14" ref="I11:I27">C11-0.00001</f>
        <v>-1E-05</v>
      </c>
      <c r="J11" s="11">
        <f t="shared" si="6"/>
        <v>0.09986025173999447</v>
      </c>
      <c r="K11" s="11">
        <f t="shared" si="7"/>
        <v>4.862189771662257</v>
      </c>
      <c r="L11" s="11">
        <f t="shared" si="8"/>
        <v>13.466051203327659</v>
      </c>
      <c r="M11" s="11">
        <f t="shared" si="9"/>
        <v>18.328240974989917</v>
      </c>
      <c r="N11" s="11">
        <f t="shared" si="10"/>
        <v>5.998800239952009</v>
      </c>
      <c r="O11" s="11">
        <f t="shared" si="11"/>
        <v>1.54879988278007</v>
      </c>
      <c r="P11" s="11">
        <f t="shared" si="12"/>
        <v>11.337556543508573</v>
      </c>
      <c r="Q11" s="12">
        <f t="shared" si="13"/>
        <v>0.3511921249119698</v>
      </c>
    </row>
    <row r="12" spans="1:17" ht="15.75">
      <c r="A12" s="13">
        <v>80</v>
      </c>
      <c r="B12" s="14">
        <f t="shared" si="0"/>
        <v>50</v>
      </c>
      <c r="C12" s="15">
        <f>C10</f>
        <v>0</v>
      </c>
      <c r="D12" s="15">
        <f t="shared" si="1"/>
        <v>0.050010000000000006</v>
      </c>
      <c r="E12" s="15">
        <f t="shared" si="2"/>
        <v>0.050010000000000006</v>
      </c>
      <c r="F12" s="15">
        <f t="shared" si="3"/>
        <v>0.1</v>
      </c>
      <c r="G12" s="15">
        <f t="shared" si="4"/>
        <v>1.4197062412901105</v>
      </c>
      <c r="H12" s="15">
        <f t="shared" si="5"/>
        <v>0.8075477619879695</v>
      </c>
      <c r="I12" s="15">
        <f t="shared" si="14"/>
        <v>-1E-05</v>
      </c>
      <c r="J12" s="15">
        <f t="shared" si="6"/>
        <v>0.09984830809245437</v>
      </c>
      <c r="K12" s="15">
        <f t="shared" si="7"/>
        <v>7.507269801511365</v>
      </c>
      <c r="L12" s="15">
        <f t="shared" si="8"/>
        <v>19.154128224249522</v>
      </c>
      <c r="M12" s="15">
        <f t="shared" si="9"/>
        <v>26.66139802576089</v>
      </c>
      <c r="N12" s="15">
        <f t="shared" si="10"/>
        <v>5.998800239952009</v>
      </c>
      <c r="O12" s="15">
        <f t="shared" si="11"/>
        <v>1.817341523968917</v>
      </c>
      <c r="P12" s="15">
        <f t="shared" si="12"/>
        <v>13.112142444480162</v>
      </c>
      <c r="Q12" s="16">
        <f t="shared" si="13"/>
        <v>0.397154015542485</v>
      </c>
    </row>
    <row r="13" spans="1:17" ht="15">
      <c r="A13" s="152">
        <v>60</v>
      </c>
      <c r="B13" s="153">
        <f t="shared" si="0"/>
        <v>30</v>
      </c>
      <c r="C13" s="168">
        <v>0.01</v>
      </c>
      <c r="D13" s="168">
        <f t="shared" si="1"/>
        <v>0.050010000000000006</v>
      </c>
      <c r="E13" s="168">
        <f t="shared" si="2"/>
        <v>0.040010000000000004</v>
      </c>
      <c r="F13" s="168">
        <f t="shared" si="3"/>
        <v>0.1</v>
      </c>
      <c r="G13" s="168">
        <f t="shared" si="4"/>
        <v>0.7441077357969219</v>
      </c>
      <c r="H13" s="168">
        <f t="shared" si="5"/>
        <v>0.25900815449620684</v>
      </c>
      <c r="I13" s="168">
        <f t="shared" si="14"/>
        <v>0.00999</v>
      </c>
      <c r="J13" s="168">
        <f t="shared" si="6"/>
        <v>0.09986607527296909</v>
      </c>
      <c r="K13" s="168">
        <f t="shared" si="7"/>
        <v>2.5732657380330717</v>
      </c>
      <c r="L13" s="168">
        <f t="shared" si="8"/>
        <v>5.6821658796815235</v>
      </c>
      <c r="M13" s="168">
        <f t="shared" si="9"/>
        <v>8.255431617714596</v>
      </c>
      <c r="N13" s="168">
        <f t="shared" si="10"/>
        <v>5.998800239952009</v>
      </c>
      <c r="O13" s="168">
        <f t="shared" si="11"/>
        <v>1.2549708676184745</v>
      </c>
      <c r="P13" s="168">
        <f t="shared" si="12"/>
        <v>7.418251284313015</v>
      </c>
      <c r="Q13" s="170">
        <f t="shared" si="13"/>
        <v>0.23274223126215418</v>
      </c>
    </row>
    <row r="14" spans="1:17" ht="15">
      <c r="A14" s="9">
        <v>70</v>
      </c>
      <c r="B14" s="10">
        <f t="shared" si="0"/>
        <v>40</v>
      </c>
      <c r="C14" s="11">
        <f>C13</f>
        <v>0.01</v>
      </c>
      <c r="D14" s="11">
        <f t="shared" si="1"/>
        <v>0.050010000000000006</v>
      </c>
      <c r="E14" s="11">
        <f t="shared" si="2"/>
        <v>0.040010000000000004</v>
      </c>
      <c r="F14" s="11">
        <f t="shared" si="3"/>
        <v>0.1</v>
      </c>
      <c r="G14" s="11">
        <f t="shared" si="4"/>
        <v>0.9622005568562556</v>
      </c>
      <c r="H14" s="11">
        <f t="shared" si="5"/>
        <v>0.3349216497791881</v>
      </c>
      <c r="I14" s="11">
        <f t="shared" si="14"/>
        <v>0.00999</v>
      </c>
      <c r="J14" s="11">
        <f t="shared" si="6"/>
        <v>0.09984544295039144</v>
      </c>
      <c r="K14" s="11">
        <f t="shared" si="7"/>
        <v>3.8400667538080775</v>
      </c>
      <c r="L14" s="11">
        <f t="shared" si="8"/>
        <v>7.347569324385183</v>
      </c>
      <c r="M14" s="11">
        <f t="shared" si="9"/>
        <v>11.187636078193261</v>
      </c>
      <c r="N14" s="11">
        <f t="shared" si="10"/>
        <v>5.998800239952009</v>
      </c>
      <c r="O14" s="11">
        <f t="shared" si="11"/>
        <v>1.4968383286618132</v>
      </c>
      <c r="P14" s="11">
        <f t="shared" si="12"/>
        <v>8.882645664241041</v>
      </c>
      <c r="Q14" s="12">
        <f t="shared" si="13"/>
        <v>0.2659176898031533</v>
      </c>
    </row>
    <row r="15" spans="1:17" ht="15.75">
      <c r="A15" s="159">
        <v>80</v>
      </c>
      <c r="B15" s="160">
        <f t="shared" si="0"/>
        <v>50</v>
      </c>
      <c r="C15" s="163">
        <f>C13</f>
        <v>0.01</v>
      </c>
      <c r="D15" s="163">
        <f t="shared" si="1"/>
        <v>0.050010000000000006</v>
      </c>
      <c r="E15" s="163">
        <f t="shared" si="2"/>
        <v>0.040010000000000004</v>
      </c>
      <c r="F15" s="163">
        <f t="shared" si="3"/>
        <v>0.1</v>
      </c>
      <c r="G15" s="163">
        <f t="shared" si="4"/>
        <v>1.2580226776774805</v>
      </c>
      <c r="H15" s="163">
        <f t="shared" si="5"/>
        <v>0.43789106924235327</v>
      </c>
      <c r="I15" s="163">
        <f t="shared" si="14"/>
        <v>0.00999</v>
      </c>
      <c r="J15" s="163">
        <f t="shared" si="6"/>
        <v>0.09982888991993544</v>
      </c>
      <c r="K15" s="163">
        <f t="shared" si="7"/>
        <v>5.558442169624088</v>
      </c>
      <c r="L15" s="163">
        <f t="shared" si="8"/>
        <v>9.606530333015435</v>
      </c>
      <c r="M15" s="163">
        <f t="shared" si="9"/>
        <v>15.164972502639523</v>
      </c>
      <c r="N15" s="163">
        <f t="shared" si="10"/>
        <v>5.998800239952009</v>
      </c>
      <c r="O15" s="163">
        <f t="shared" si="11"/>
        <v>1.732509844641538</v>
      </c>
      <c r="P15" s="163">
        <f t="shared" si="12"/>
        <v>10.398360974065547</v>
      </c>
      <c r="Q15" s="164">
        <f t="shared" si="13"/>
        <v>0.30025437926174886</v>
      </c>
    </row>
    <row r="16" spans="1:17" ht="15">
      <c r="A16" s="9">
        <v>60</v>
      </c>
      <c r="B16" s="10">
        <f t="shared" si="0"/>
        <v>30</v>
      </c>
      <c r="C16" s="11">
        <v>0.02001</v>
      </c>
      <c r="D16" s="11">
        <f t="shared" si="1"/>
        <v>0.050010000000000006</v>
      </c>
      <c r="E16" s="11">
        <f t="shared" si="2"/>
        <v>0.030000000000000006</v>
      </c>
      <c r="F16" s="11">
        <f t="shared" si="3"/>
        <v>0.1</v>
      </c>
      <c r="G16" s="11">
        <f t="shared" si="4"/>
        <v>0.7860742898628367</v>
      </c>
      <c r="H16" s="11">
        <f t="shared" si="5"/>
        <v>0.17948677744874555</v>
      </c>
      <c r="I16" s="11">
        <f t="shared" si="14"/>
        <v>0.02</v>
      </c>
      <c r="J16" s="11">
        <f t="shared" si="6"/>
        <v>0.09985515853148308</v>
      </c>
      <c r="K16" s="11">
        <f t="shared" si="7"/>
        <v>2.177184645915626</v>
      </c>
      <c r="L16" s="11">
        <f t="shared" si="8"/>
        <v>3.6548018090636094</v>
      </c>
      <c r="M16" s="11">
        <f t="shared" si="9"/>
        <v>5.831986454979235</v>
      </c>
      <c r="N16" s="11">
        <f t="shared" si="10"/>
        <v>5.998800239952009</v>
      </c>
      <c r="O16" s="11">
        <f t="shared" si="11"/>
        <v>1.231050715459075</v>
      </c>
      <c r="P16" s="11">
        <f t="shared" si="12"/>
        <v>5.881048261382877</v>
      </c>
      <c r="Q16" s="12">
        <f t="shared" si="13"/>
        <v>0.1809967167456185</v>
      </c>
    </row>
    <row r="17" spans="1:17" ht="15">
      <c r="A17" s="9">
        <v>70</v>
      </c>
      <c r="B17" s="10">
        <f t="shared" si="0"/>
        <v>40</v>
      </c>
      <c r="C17" s="11">
        <f>C16</f>
        <v>0.02001</v>
      </c>
      <c r="D17" s="11">
        <f t="shared" si="1"/>
        <v>0.050010000000000006</v>
      </c>
      <c r="E17" s="11">
        <f t="shared" si="2"/>
        <v>0.030000000000000006</v>
      </c>
      <c r="F17" s="11">
        <f t="shared" si="3"/>
        <v>0.1</v>
      </c>
      <c r="G17" s="11">
        <f t="shared" si="4"/>
        <v>0.9436994270999398</v>
      </c>
      <c r="H17" s="11">
        <f t="shared" si="5"/>
        <v>0.21547781327379537</v>
      </c>
      <c r="I17" s="11">
        <f t="shared" si="14"/>
        <v>0.02</v>
      </c>
      <c r="J17" s="11">
        <f t="shared" si="6"/>
        <v>0.09982923982251268</v>
      </c>
      <c r="K17" s="11">
        <f t="shared" si="7"/>
        <v>3.0813617258450643</v>
      </c>
      <c r="L17" s="11">
        <f t="shared" si="8"/>
        <v>4.3876697379060445</v>
      </c>
      <c r="M17" s="11">
        <f t="shared" si="9"/>
        <v>7.469031463751109</v>
      </c>
      <c r="N17" s="11">
        <f t="shared" si="10"/>
        <v>5.998800239952009</v>
      </c>
      <c r="O17" s="11">
        <f t="shared" si="11"/>
        <v>1.4424749334606346</v>
      </c>
      <c r="P17" s="11">
        <f t="shared" si="12"/>
        <v>6.957474369918712</v>
      </c>
      <c r="Q17" s="12">
        <f t="shared" si="13"/>
        <v>0.20071964757605132</v>
      </c>
    </row>
    <row r="18" spans="1:17" ht="15.75">
      <c r="A18" s="13">
        <v>80</v>
      </c>
      <c r="B18" s="14">
        <f t="shared" si="0"/>
        <v>50</v>
      </c>
      <c r="C18" s="15">
        <f>C16</f>
        <v>0.02001</v>
      </c>
      <c r="D18" s="15">
        <f t="shared" si="1"/>
        <v>0.050010000000000006</v>
      </c>
      <c r="E18" s="15">
        <f t="shared" si="2"/>
        <v>0.030000000000000006</v>
      </c>
      <c r="F18" s="15">
        <f t="shared" si="3"/>
        <v>0.1</v>
      </c>
      <c r="G18" s="15">
        <f t="shared" si="4"/>
        <v>1.1405741396757505</v>
      </c>
      <c r="H18" s="15">
        <f t="shared" si="5"/>
        <v>0.2604308262104558</v>
      </c>
      <c r="I18" s="15">
        <f t="shared" si="14"/>
        <v>0.02</v>
      </c>
      <c r="J18" s="15">
        <f t="shared" si="6"/>
        <v>0.09980692901713328</v>
      </c>
      <c r="K18" s="15">
        <f t="shared" si="7"/>
        <v>4.210710870571536</v>
      </c>
      <c r="L18" s="15">
        <f t="shared" si="8"/>
        <v>5.303026040688195</v>
      </c>
      <c r="M18" s="15">
        <f t="shared" si="9"/>
        <v>9.51373691125973</v>
      </c>
      <c r="N18" s="15">
        <f t="shared" si="10"/>
        <v>5.998800239952009</v>
      </c>
      <c r="O18" s="15">
        <f t="shared" si="11"/>
        <v>1.6424513015630895</v>
      </c>
      <c r="P18" s="15">
        <f t="shared" si="12"/>
        <v>8.091412395633846</v>
      </c>
      <c r="Q18" s="16">
        <f t="shared" si="13"/>
        <v>0.22149584701154207</v>
      </c>
    </row>
    <row r="19" spans="1:17" ht="15">
      <c r="A19" s="152">
        <v>60</v>
      </c>
      <c r="B19" s="153">
        <f t="shared" si="0"/>
        <v>30</v>
      </c>
      <c r="C19" s="168">
        <v>0.03</v>
      </c>
      <c r="D19" s="168">
        <f t="shared" si="1"/>
        <v>0.050010000000000006</v>
      </c>
      <c r="E19" s="168">
        <f t="shared" si="2"/>
        <v>0.020010000000000007</v>
      </c>
      <c r="F19" s="168">
        <f t="shared" si="3"/>
        <v>0.1</v>
      </c>
      <c r="G19" s="168">
        <f t="shared" si="4"/>
        <v>0.8406770205471649</v>
      </c>
      <c r="H19" s="168">
        <f t="shared" si="5"/>
        <v>0.1311663494227847</v>
      </c>
      <c r="I19" s="168">
        <f t="shared" si="14"/>
        <v>0.02999</v>
      </c>
      <c r="J19" s="168">
        <f t="shared" si="6"/>
        <v>0.09984375171591064</v>
      </c>
      <c r="K19" s="168">
        <f t="shared" si="7"/>
        <v>1.8611933996092493</v>
      </c>
      <c r="L19" s="168">
        <f t="shared" si="8"/>
        <v>2.485997313929514</v>
      </c>
      <c r="M19" s="168">
        <f t="shared" si="9"/>
        <v>4.3471907135387635</v>
      </c>
      <c r="N19" s="168">
        <f t="shared" si="10"/>
        <v>5.998800239952009</v>
      </c>
      <c r="O19" s="168">
        <f t="shared" si="11"/>
        <v>1.2069067870823709</v>
      </c>
      <c r="P19" s="168">
        <f t="shared" si="12"/>
        <v>4.738583455254668</v>
      </c>
      <c r="Q19" s="170">
        <f t="shared" si="13"/>
        <v>0.14297571333257728</v>
      </c>
    </row>
    <row r="20" spans="1:17" ht="15">
      <c r="A20" s="9">
        <v>70</v>
      </c>
      <c r="B20" s="10">
        <f t="shared" si="0"/>
        <v>40</v>
      </c>
      <c r="C20" s="11">
        <f>C19</f>
        <v>0.03</v>
      </c>
      <c r="D20" s="11">
        <f t="shared" si="1"/>
        <v>0.050010000000000006</v>
      </c>
      <c r="E20" s="11">
        <f t="shared" si="2"/>
        <v>0.020010000000000007</v>
      </c>
      <c r="F20" s="11">
        <f t="shared" si="3"/>
        <v>0.1</v>
      </c>
      <c r="G20" s="11">
        <f t="shared" si="4"/>
        <v>0.9430045728356115</v>
      </c>
      <c r="H20" s="11">
        <f t="shared" si="5"/>
        <v>0.14713197135724518</v>
      </c>
      <c r="I20" s="11">
        <f t="shared" si="14"/>
        <v>0.02999</v>
      </c>
      <c r="J20" s="11">
        <f t="shared" si="6"/>
        <v>0.09981189663532708</v>
      </c>
      <c r="K20" s="11">
        <f t="shared" si="7"/>
        <v>2.513188404163312</v>
      </c>
      <c r="L20" s="11">
        <f t="shared" si="8"/>
        <v>2.7885939282208034</v>
      </c>
      <c r="M20" s="11">
        <f t="shared" si="9"/>
        <v>5.301782332384116</v>
      </c>
      <c r="N20" s="11">
        <f t="shared" si="10"/>
        <v>5.998800239952009</v>
      </c>
      <c r="O20" s="11">
        <f t="shared" si="11"/>
        <v>1.3875708406448533</v>
      </c>
      <c r="P20" s="11">
        <f t="shared" si="12"/>
        <v>5.4932658550302005</v>
      </c>
      <c r="Q20" s="12">
        <f t="shared" si="13"/>
        <v>0.15244591040699848</v>
      </c>
    </row>
    <row r="21" spans="1:17" ht="15.75">
      <c r="A21" s="159">
        <v>80</v>
      </c>
      <c r="B21" s="160">
        <f t="shared" si="0"/>
        <v>50</v>
      </c>
      <c r="C21" s="163">
        <f>C19</f>
        <v>0.03</v>
      </c>
      <c r="D21" s="163">
        <f t="shared" si="1"/>
        <v>0.050010000000000006</v>
      </c>
      <c r="E21" s="163">
        <f t="shared" si="2"/>
        <v>0.020010000000000007</v>
      </c>
      <c r="F21" s="163">
        <f t="shared" si="3"/>
        <v>0.1</v>
      </c>
      <c r="G21" s="163">
        <f t="shared" si="4"/>
        <v>1.0611515081933365</v>
      </c>
      <c r="H21" s="163">
        <f t="shared" si="5"/>
        <v>0.16556580721524944</v>
      </c>
      <c r="I21" s="163">
        <f t="shared" si="14"/>
        <v>0.02999</v>
      </c>
      <c r="J21" s="163">
        <f t="shared" si="6"/>
        <v>0.09978275841673512</v>
      </c>
      <c r="K21" s="163">
        <f t="shared" si="7"/>
        <v>3.265955008924325</v>
      </c>
      <c r="L21" s="163">
        <f t="shared" si="8"/>
        <v>3.1379706291054563</v>
      </c>
      <c r="M21" s="163">
        <f t="shared" si="9"/>
        <v>6.403925638029781</v>
      </c>
      <c r="N21" s="163">
        <f t="shared" si="10"/>
        <v>5.998800239952009</v>
      </c>
      <c r="O21" s="163">
        <f t="shared" si="11"/>
        <v>1.5512279489821224</v>
      </c>
      <c r="P21" s="163">
        <f t="shared" si="12"/>
        <v>6.276756534804879</v>
      </c>
      <c r="Q21" s="164">
        <f t="shared" si="13"/>
        <v>0.1622780027624251</v>
      </c>
    </row>
    <row r="22" spans="1:17" ht="15">
      <c r="A22" s="9">
        <v>60</v>
      </c>
      <c r="B22" s="10">
        <f t="shared" si="0"/>
        <v>30</v>
      </c>
      <c r="C22" s="11">
        <v>0.04</v>
      </c>
      <c r="D22" s="11">
        <f t="shared" si="1"/>
        <v>0.050010000000000006</v>
      </c>
      <c r="E22" s="11">
        <f t="shared" si="2"/>
        <v>0.010010000000000005</v>
      </c>
      <c r="F22" s="11">
        <f t="shared" si="3"/>
        <v>0.1</v>
      </c>
      <c r="G22" s="11">
        <f t="shared" si="4"/>
        <v>0.9108027775836517</v>
      </c>
      <c r="H22" s="11">
        <f t="shared" si="5"/>
        <v>0.09952636853805631</v>
      </c>
      <c r="I22" s="11">
        <f t="shared" si="14"/>
        <v>0.03999</v>
      </c>
      <c r="J22" s="11">
        <f t="shared" si="6"/>
        <v>0.09983197029451352</v>
      </c>
      <c r="K22" s="11">
        <f t="shared" si="7"/>
        <v>1.6063233858592876</v>
      </c>
      <c r="L22" s="11">
        <f t="shared" si="8"/>
        <v>1.7589315530549465</v>
      </c>
      <c r="M22" s="11">
        <f t="shared" si="9"/>
        <v>3.365254938914234</v>
      </c>
      <c r="N22" s="11">
        <f t="shared" si="10"/>
        <v>5.998800239952009</v>
      </c>
      <c r="O22" s="11">
        <f t="shared" si="11"/>
        <v>1.1829875637317095</v>
      </c>
      <c r="P22" s="11">
        <f t="shared" si="12"/>
        <v>3.875698368519173</v>
      </c>
      <c r="Q22" s="12">
        <f t="shared" si="13"/>
        <v>0.11462257426833643</v>
      </c>
    </row>
    <row r="23" spans="1:17" ht="15">
      <c r="A23" s="9">
        <v>70</v>
      </c>
      <c r="B23" s="10">
        <f t="shared" si="0"/>
        <v>40</v>
      </c>
      <c r="C23" s="11">
        <f>C22</f>
        <v>0.04</v>
      </c>
      <c r="D23" s="11">
        <f t="shared" si="1"/>
        <v>0.050010000000000006</v>
      </c>
      <c r="E23" s="11">
        <f t="shared" si="2"/>
        <v>0.010010000000000005</v>
      </c>
      <c r="F23" s="11">
        <f t="shared" si="3"/>
        <v>0.1</v>
      </c>
      <c r="G23" s="11">
        <f t="shared" si="4"/>
        <v>0.9611409682167547</v>
      </c>
      <c r="H23" s="11">
        <f t="shared" si="5"/>
        <v>0.10502698561542245</v>
      </c>
      <c r="I23" s="11">
        <f t="shared" si="14"/>
        <v>0.03999</v>
      </c>
      <c r="J23" s="11">
        <f t="shared" si="6"/>
        <v>0.0997936764674473</v>
      </c>
      <c r="K23" s="11">
        <f t="shared" si="7"/>
        <v>2.0811676615076786</v>
      </c>
      <c r="L23" s="11">
        <f t="shared" si="8"/>
        <v>1.8561440715138375</v>
      </c>
      <c r="M23" s="11">
        <f t="shared" si="9"/>
        <v>3.937311733021516</v>
      </c>
      <c r="N23" s="11">
        <f t="shared" si="10"/>
        <v>5.998800239952009</v>
      </c>
      <c r="O23" s="11">
        <f t="shared" si="11"/>
        <v>1.33373977902969</v>
      </c>
      <c r="P23" s="11">
        <f t="shared" si="12"/>
        <v>4.389887345520074</v>
      </c>
      <c r="Q23" s="12">
        <f t="shared" si="13"/>
        <v>0.1170993475635835</v>
      </c>
    </row>
    <row r="24" spans="1:17" ht="15.75">
      <c r="A24" s="13">
        <v>80</v>
      </c>
      <c r="B24" s="14">
        <f t="shared" si="0"/>
        <v>50</v>
      </c>
      <c r="C24" s="15">
        <f>C22</f>
        <v>0.04</v>
      </c>
      <c r="D24" s="15">
        <f t="shared" si="1"/>
        <v>0.050010000000000006</v>
      </c>
      <c r="E24" s="15">
        <f t="shared" si="2"/>
        <v>0.010010000000000005</v>
      </c>
      <c r="F24" s="15">
        <f t="shared" si="3"/>
        <v>0.1</v>
      </c>
      <c r="G24" s="15">
        <f t="shared" si="4"/>
        <v>1.0150979311005617</v>
      </c>
      <c r="H24" s="15">
        <f t="shared" si="5"/>
        <v>0.11092303765361992</v>
      </c>
      <c r="I24" s="15">
        <f t="shared" si="14"/>
        <v>0.03999</v>
      </c>
      <c r="J24" s="15">
        <f t="shared" si="6"/>
        <v>0.09975684631577586</v>
      </c>
      <c r="K24" s="15">
        <f t="shared" si="7"/>
        <v>2.5900794659176327</v>
      </c>
      <c r="L24" s="15">
        <f t="shared" si="8"/>
        <v>1.96034512014824</v>
      </c>
      <c r="M24" s="15">
        <f t="shared" si="9"/>
        <v>4.550424586065873</v>
      </c>
      <c r="N24" s="15">
        <f t="shared" si="10"/>
        <v>5.998800239952009</v>
      </c>
      <c r="O24" s="15">
        <f t="shared" si="11"/>
        <v>1.4625848936376267</v>
      </c>
      <c r="P24" s="15">
        <f t="shared" si="12"/>
        <v>4.905765182688857</v>
      </c>
      <c r="Q24" s="16">
        <f t="shared" si="13"/>
        <v>0.11958496746556921</v>
      </c>
    </row>
    <row r="25" spans="1:17" ht="15">
      <c r="A25" s="152">
        <v>60</v>
      </c>
      <c r="B25" s="153">
        <f t="shared" si="0"/>
        <v>30</v>
      </c>
      <c r="C25" s="168">
        <v>0.05</v>
      </c>
      <c r="D25" s="168">
        <f t="shared" si="1"/>
        <v>0.050010000000000006</v>
      </c>
      <c r="E25" s="168">
        <f t="shared" si="2"/>
        <v>1.0000000000003062E-05</v>
      </c>
      <c r="F25" s="168">
        <f t="shared" si="3"/>
        <v>0.1</v>
      </c>
      <c r="G25" s="168">
        <f t="shared" si="4"/>
        <v>0.9999000116658598</v>
      </c>
      <c r="H25" s="168">
        <f t="shared" si="5"/>
        <v>0.0777959289942686</v>
      </c>
      <c r="I25" s="168">
        <f t="shared" si="14"/>
        <v>0.04999</v>
      </c>
      <c r="J25" s="168">
        <f t="shared" si="6"/>
        <v>0.09982000000246127</v>
      </c>
      <c r="K25" s="168">
        <f t="shared" si="7"/>
        <v>1.3993466796861411</v>
      </c>
      <c r="L25" s="168">
        <f t="shared" si="8"/>
        <v>1.2836678309118472</v>
      </c>
      <c r="M25" s="168">
        <f t="shared" si="9"/>
        <v>2.6830145105979883</v>
      </c>
      <c r="N25" s="168">
        <f t="shared" si="10"/>
        <v>5.998800239952009</v>
      </c>
      <c r="O25" s="168">
        <f t="shared" si="11"/>
        <v>1.1598286731133556</v>
      </c>
      <c r="P25" s="168">
        <f t="shared" si="12"/>
        <v>3.2163590261391395</v>
      </c>
      <c r="Q25" s="170">
        <f t="shared" si="13"/>
        <v>0.09326063553857808</v>
      </c>
    </row>
    <row r="26" spans="1:17" ht="15">
      <c r="A26" s="9">
        <v>70</v>
      </c>
      <c r="B26" s="10">
        <f t="shared" si="0"/>
        <v>40</v>
      </c>
      <c r="C26" s="11">
        <f>C25</f>
        <v>0.05</v>
      </c>
      <c r="D26" s="11">
        <f t="shared" si="1"/>
        <v>0.050010000000000006</v>
      </c>
      <c r="E26" s="11">
        <f t="shared" si="2"/>
        <v>1.0000000000003062E-05</v>
      </c>
      <c r="F26" s="11">
        <f t="shared" si="3"/>
        <v>0.1</v>
      </c>
      <c r="G26" s="11">
        <f t="shared" si="4"/>
        <v>0.9999500116661111</v>
      </c>
      <c r="H26" s="11">
        <f t="shared" si="5"/>
        <v>0.07779981917971102</v>
      </c>
      <c r="I26" s="11">
        <f t="shared" si="14"/>
        <v>0.04999</v>
      </c>
      <c r="J26" s="11">
        <f t="shared" si="6"/>
        <v>0.09977500000459716</v>
      </c>
      <c r="K26" s="11">
        <f t="shared" si="7"/>
        <v>1.748979204842721</v>
      </c>
      <c r="L26" s="11">
        <f t="shared" si="8"/>
        <v>1.2837320207219476</v>
      </c>
      <c r="M26" s="11">
        <f t="shared" si="9"/>
        <v>3.0327112255646687</v>
      </c>
      <c r="N26" s="11">
        <f t="shared" si="10"/>
        <v>5.998800239952009</v>
      </c>
      <c r="O26" s="11">
        <f t="shared" si="11"/>
        <v>1.2826776668330044</v>
      </c>
      <c r="P26" s="11">
        <f t="shared" si="12"/>
        <v>3.5609166304593964</v>
      </c>
      <c r="Q26" s="12">
        <f t="shared" si="13"/>
        <v>0.09135016470689006</v>
      </c>
    </row>
    <row r="27" spans="1:17" ht="16.5" thickBot="1">
      <c r="A27" s="17">
        <v>80</v>
      </c>
      <c r="B27" s="18">
        <f t="shared" si="0"/>
        <v>50</v>
      </c>
      <c r="C27" s="19">
        <f>C25</f>
        <v>0.05</v>
      </c>
      <c r="D27" s="19">
        <f t="shared" si="1"/>
        <v>0.050010000000000006</v>
      </c>
      <c r="E27" s="19">
        <f t="shared" si="2"/>
        <v>1.0000000000003062E-05</v>
      </c>
      <c r="F27" s="19">
        <f t="shared" si="3"/>
        <v>0.1</v>
      </c>
      <c r="G27" s="19">
        <f t="shared" si="4"/>
        <v>1.000000015000177</v>
      </c>
      <c r="H27" s="19">
        <f t="shared" si="5"/>
        <v>0.07780370962453659</v>
      </c>
      <c r="I27" s="19">
        <f t="shared" si="14"/>
        <v>0.04999</v>
      </c>
      <c r="J27" s="19">
        <f t="shared" si="6"/>
        <v>0.0997300000080531</v>
      </c>
      <c r="K27" s="19">
        <f t="shared" si="7"/>
        <v>2.0985300640026803</v>
      </c>
      <c r="L27" s="19">
        <f t="shared" si="8"/>
        <v>1.2837962148119866</v>
      </c>
      <c r="M27" s="19">
        <f t="shared" si="9"/>
        <v>3.382326278814667</v>
      </c>
      <c r="N27" s="19">
        <f t="shared" si="10"/>
        <v>5.998800239952009</v>
      </c>
      <c r="O27" s="19">
        <f t="shared" si="11"/>
        <v>1.3801810330102657</v>
      </c>
      <c r="P27" s="19">
        <f t="shared" si="12"/>
        <v>3.891532813533522</v>
      </c>
      <c r="Q27" s="20">
        <f t="shared" si="13"/>
        <v>0.08951699630960071</v>
      </c>
    </row>
    <row r="28" ht="13.5" thickTop="1"/>
  </sheetData>
  <mergeCells count="1">
    <mergeCell ref="A3:Q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5"/>
  <legacyDrawing r:id="rId4"/>
  <oleObjects>
    <oleObject progId="Equation.3" shapeId="47470583" r:id="rId1"/>
    <oleObject progId="Equation.3" shapeId="52130969" r:id="rId2"/>
    <oleObject progId="Equation.3" shapeId="5214372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pane xSplit="1" ySplit="9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O27"/>
    </sheetView>
  </sheetViews>
  <sheetFormatPr defaultColWidth="11.421875" defaultRowHeight="12.75"/>
  <cols>
    <col min="1" max="15" width="8.7109375" style="0" customWidth="1"/>
  </cols>
  <sheetData>
    <row r="1" ht="12.75">
      <c r="A1" s="1"/>
    </row>
    <row r="2" ht="13.5" thickBot="1"/>
    <row r="3" spans="1:15" ht="60" customHeight="1" thickTop="1">
      <c r="A3" s="98" t="s">
        <v>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91"/>
      <c r="O3" s="99"/>
    </row>
    <row r="4" spans="1:15" ht="19.5" customHeight="1">
      <c r="A4" s="73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4"/>
      <c r="N4" s="4"/>
      <c r="O4" s="5"/>
    </row>
    <row r="5" spans="1:15" ht="15">
      <c r="A5" s="6" t="s">
        <v>15</v>
      </c>
      <c r="B5" s="7" t="s">
        <v>16</v>
      </c>
      <c r="C5" s="23" t="s">
        <v>47</v>
      </c>
      <c r="D5" s="23" t="s">
        <v>48</v>
      </c>
      <c r="E5" s="7" t="s">
        <v>27</v>
      </c>
      <c r="F5" s="4"/>
      <c r="G5" s="4"/>
      <c r="H5" s="3"/>
      <c r="I5" s="3"/>
      <c r="J5" s="3"/>
      <c r="K5" s="3"/>
      <c r="L5" s="3"/>
      <c r="M5" s="4"/>
      <c r="N5" s="4"/>
      <c r="O5" s="5"/>
    </row>
    <row r="6" spans="1:15" ht="15">
      <c r="A6" s="6">
        <v>20</v>
      </c>
      <c r="B6" s="7">
        <v>30</v>
      </c>
      <c r="C6" s="11">
        <v>0</v>
      </c>
      <c r="D6" s="7">
        <v>10000</v>
      </c>
      <c r="E6" s="24">
        <v>0.05000001</v>
      </c>
      <c r="F6" s="4"/>
      <c r="G6" s="4"/>
      <c r="H6" s="7"/>
      <c r="I6" s="7"/>
      <c r="J6" s="7"/>
      <c r="K6" s="7"/>
      <c r="L6" s="7"/>
      <c r="M6" s="4"/>
      <c r="N6" s="4"/>
      <c r="O6" s="5"/>
    </row>
    <row r="7" spans="1:15" ht="15">
      <c r="A7" s="6" t="s">
        <v>33</v>
      </c>
      <c r="B7" s="23" t="s">
        <v>18</v>
      </c>
      <c r="C7" s="23" t="s">
        <v>28</v>
      </c>
      <c r="D7" s="23" t="s">
        <v>29</v>
      </c>
      <c r="E7" s="23"/>
      <c r="F7" s="23"/>
      <c r="G7" s="4"/>
      <c r="H7" s="4"/>
      <c r="I7" s="23"/>
      <c r="J7" s="23"/>
      <c r="K7" s="23"/>
      <c r="L7" s="23"/>
      <c r="M7" s="4"/>
      <c r="N7" s="4"/>
      <c r="O7" s="5"/>
    </row>
    <row r="8" spans="1:15" ht="15">
      <c r="A8" s="6">
        <v>60</v>
      </c>
      <c r="B8" s="11">
        <v>0.3</v>
      </c>
      <c r="C8" s="11">
        <f>1-B8</f>
        <v>0.7</v>
      </c>
      <c r="D8" s="11">
        <v>1</v>
      </c>
      <c r="E8" s="4"/>
      <c r="F8" s="11"/>
      <c r="G8" s="4"/>
      <c r="H8" s="4"/>
      <c r="I8" s="11"/>
      <c r="J8" s="11"/>
      <c r="K8" s="11"/>
      <c r="L8" s="11"/>
      <c r="M8" s="4"/>
      <c r="N8" s="4"/>
      <c r="O8" s="5"/>
    </row>
    <row r="9" spans="1:15" ht="19.5">
      <c r="A9" s="6" t="s">
        <v>20</v>
      </c>
      <c r="B9" s="7" t="s">
        <v>21</v>
      </c>
      <c r="C9" s="7" t="s">
        <v>22</v>
      </c>
      <c r="D9" s="7" t="s">
        <v>19</v>
      </c>
      <c r="E9" s="7" t="s">
        <v>25</v>
      </c>
      <c r="F9" s="23" t="s">
        <v>52</v>
      </c>
      <c r="G9" s="7" t="s">
        <v>26</v>
      </c>
      <c r="H9" s="7" t="s">
        <v>36</v>
      </c>
      <c r="I9" s="7" t="s">
        <v>53</v>
      </c>
      <c r="J9" s="7" t="s">
        <v>54</v>
      </c>
      <c r="K9" s="23" t="s">
        <v>4</v>
      </c>
      <c r="L9" s="23" t="s">
        <v>11</v>
      </c>
      <c r="M9" s="23" t="s">
        <v>17</v>
      </c>
      <c r="N9" s="23" t="s">
        <v>13</v>
      </c>
      <c r="O9" s="88" t="s">
        <v>24</v>
      </c>
    </row>
    <row r="10" spans="1:15" ht="15">
      <c r="A10" s="144">
        <v>60</v>
      </c>
      <c r="B10" s="145">
        <f aca="true" t="shared" si="0" ref="B10:B27">A10-B$6</f>
        <v>30</v>
      </c>
      <c r="C10" s="166">
        <v>0</v>
      </c>
      <c r="D10" s="166">
        <f aca="true" t="shared" si="1" ref="D10:D27">E$6</f>
        <v>0.05000001</v>
      </c>
      <c r="E10" s="166">
        <f aca="true" t="shared" si="2" ref="E10:E27">D10-C10</f>
        <v>0.05000001</v>
      </c>
      <c r="F10" s="166">
        <v>0.06135</v>
      </c>
      <c r="G10" s="166">
        <f>(EXP($E10*($B10-$A$6))-EXP(-$E10*($A$8-$B10))+D$8*(EXP(-$E10*($A$8-$B10))-EXP(-$E10*$B$6)))/($E10*($A10-$A$6))</f>
        <v>0.7127955286223302</v>
      </c>
      <c r="H10" s="166">
        <f>F10*EXP($E10*$B$6)*G10*$C$8/(1-F10*EXP($E10*$B$6))</f>
        <v>0.1892136626294693</v>
      </c>
      <c r="I10" s="166">
        <f>(D10-C$6)/D$6</f>
        <v>5.000001E-06</v>
      </c>
      <c r="J10" s="166">
        <f>1-(1-F10)*((D10-I10)*(1-EXP(-E10*(A10-A$6))))/(E10*(1-EXP(-(D10-I10)*(A10-A$6))))</f>
        <v>0.061414481030826584</v>
      </c>
      <c r="K10" s="166">
        <f>(C$8/(A10-A$6))*((EXP(E10*(A10-A$6))-1-E10*(A10-A$6))/(E10^2)-(1-J10)*((EXP(E10*(A10-A$6))-1)/E10-(1-EXP(-(C10-I10)*(A10-A$6)))/(C10-I10))/(D10-I10))</f>
        <v>1.8852918583305056</v>
      </c>
      <c r="L10" s="166">
        <f>H10*(((EXP(E10*B$6)-1)/E10)-((1-F10)/(1-EXP(-(D10-I10)*B$6))*(((EXP(E10*B$6)-1)/E10)-(1-EXP(-(C10-I10)*B$6))/(C10-I10))))</f>
        <v>4.114843549237096</v>
      </c>
      <c r="M10" s="166">
        <f>K10+L10</f>
        <v>6.000135407567602</v>
      </c>
      <c r="N10" s="166">
        <f>B$8/D10</f>
        <v>5.99999880000024</v>
      </c>
      <c r="O10" s="150">
        <f aca="true" t="shared" si="3" ref="O10:O27">H10/(M10/(A10-A$6))</f>
        <v>1.2613959504368901</v>
      </c>
    </row>
    <row r="11" spans="1:15" ht="15">
      <c r="A11" s="9">
        <v>70</v>
      </c>
      <c r="B11" s="10">
        <f t="shared" si="0"/>
        <v>40</v>
      </c>
      <c r="C11" s="11">
        <f>C10</f>
        <v>0</v>
      </c>
      <c r="D11" s="11">
        <f t="shared" si="1"/>
        <v>0.05000001</v>
      </c>
      <c r="E11" s="11">
        <f t="shared" si="2"/>
        <v>0.05000001</v>
      </c>
      <c r="F11" s="11">
        <v>0.04575</v>
      </c>
      <c r="G11" s="11">
        <f aca="true" t="shared" si="4" ref="G11:G27">(EXP($E11*($B11-$A$6))-EXP(-$E11*($A$8-$B11))+D$8*(EXP(-$E11*($A$8-$B11))-EXP(-$E11*$B$6)))/($E11*($A11-$A$6))</f>
        <v>0.9980607119502869</v>
      </c>
      <c r="H11" s="11">
        <f aca="true" t="shared" si="5" ref="H11:H27">F11*EXP($E11*$B$6)*G11*$C$8/(1-F11*EXP($E11*$B$6))</f>
        <v>0.1801943708670663</v>
      </c>
      <c r="I11" s="11">
        <f aca="true" t="shared" si="6" ref="I11:I27">(D11-C$6)/D$6</f>
        <v>5.000001E-06</v>
      </c>
      <c r="J11" s="11">
        <f aca="true" t="shared" si="7" ref="J11:J27">1-(1-F11)*((D11-I11)*(1-EXP(-E11*(A11-A$6))))/(E11*(1-EXP(-(D11-I11)*(A11-A$6))))</f>
        <v>0.045824090428617126</v>
      </c>
      <c r="K11" s="11">
        <f aca="true" t="shared" si="8" ref="K11:K27">(C$8/(A11-A$6))*((EXP(E11*(A11-A$6))-1-E11*(A11-A$6))/(E11^2)-(1-J11)*((EXP(E11*(A11-A$6))-1)/E11-(1-EXP(-(C11-I11)*(A11-A$6)))/(C11-I11))/(D11-I11))</f>
        <v>2.2250881766343187</v>
      </c>
      <c r="L11" s="11">
        <f aca="true" t="shared" si="9" ref="L11:L27">H11*(((EXP(E11*B$6)-1)/E11)-((1-F11)/(1-EXP(-(D11-I11)*B$6))*(((EXP(E11*B$6)-1)/E11)-(1-EXP(-(C11-I11)*B$6))/(C11-I11))))</f>
        <v>3.775291072022269</v>
      </c>
      <c r="M11" s="11">
        <f aca="true" t="shared" si="10" ref="M11:M27">K11+L11</f>
        <v>6.0003792486565874</v>
      </c>
      <c r="N11" s="11">
        <f aca="true" t="shared" si="11" ref="N11:N27">B$8/D11</f>
        <v>5.99999880000024</v>
      </c>
      <c r="O11" s="12">
        <f t="shared" si="3"/>
        <v>1.5015248486786035</v>
      </c>
    </row>
    <row r="12" spans="1:15" ht="15.75">
      <c r="A12" s="13">
        <v>80</v>
      </c>
      <c r="B12" s="14">
        <f t="shared" si="0"/>
        <v>50</v>
      </c>
      <c r="C12" s="15">
        <f>C10</f>
        <v>0</v>
      </c>
      <c r="D12" s="15">
        <f t="shared" si="1"/>
        <v>0.05000001</v>
      </c>
      <c r="E12" s="15">
        <f t="shared" si="2"/>
        <v>0.05000001</v>
      </c>
      <c r="F12" s="15">
        <v>0.0331</v>
      </c>
      <c r="G12" s="15">
        <f t="shared" si="4"/>
        <v>1.4195198233079005</v>
      </c>
      <c r="H12" s="15">
        <f t="shared" si="5"/>
        <v>0.17307929365588776</v>
      </c>
      <c r="I12" s="15">
        <f t="shared" si="6"/>
        <v>5.000001E-06</v>
      </c>
      <c r="J12" s="15">
        <f t="shared" si="7"/>
        <v>0.033181490588004015</v>
      </c>
      <c r="K12" s="15">
        <f t="shared" si="8"/>
        <v>2.4855696989558975</v>
      </c>
      <c r="L12" s="15">
        <f t="shared" si="9"/>
        <v>3.514523132286694</v>
      </c>
      <c r="M12" s="15">
        <f t="shared" si="10"/>
        <v>6.000092831242592</v>
      </c>
      <c r="N12" s="15">
        <f t="shared" si="11"/>
        <v>5.99999880000024</v>
      </c>
      <c r="O12" s="16">
        <f t="shared" si="3"/>
        <v>1.7307661583633582</v>
      </c>
    </row>
    <row r="13" spans="1:15" ht="15">
      <c r="A13" s="152">
        <v>60</v>
      </c>
      <c r="B13" s="153">
        <f t="shared" si="0"/>
        <v>30</v>
      </c>
      <c r="C13" s="168">
        <v>0.01</v>
      </c>
      <c r="D13" s="168">
        <f t="shared" si="1"/>
        <v>0.05000001</v>
      </c>
      <c r="E13" s="168">
        <f t="shared" si="2"/>
        <v>0.040000009999999996</v>
      </c>
      <c r="F13" s="168">
        <v>0.0894</v>
      </c>
      <c r="G13" s="168">
        <f t="shared" si="4"/>
        <v>0.7441440172576179</v>
      </c>
      <c r="H13" s="168">
        <f t="shared" si="5"/>
        <v>0.21987641705210845</v>
      </c>
      <c r="I13" s="168">
        <f t="shared" si="6"/>
        <v>5.000001E-06</v>
      </c>
      <c r="J13" s="168">
        <f t="shared" si="7"/>
        <v>-0.05055619199062322</v>
      </c>
      <c r="K13" s="168">
        <f t="shared" si="8"/>
        <v>1.5194348391064982</v>
      </c>
      <c r="L13" s="168">
        <f t="shared" si="9"/>
        <v>4.48452567539155</v>
      </c>
      <c r="M13" s="168">
        <f t="shared" si="10"/>
        <v>6.003960514498049</v>
      </c>
      <c r="N13" s="168">
        <f t="shared" si="11"/>
        <v>5.99999880000024</v>
      </c>
      <c r="O13" s="170">
        <f t="shared" si="3"/>
        <v>1.4648758366825525</v>
      </c>
    </row>
    <row r="14" spans="1:15" ht="15">
      <c r="A14" s="9">
        <v>70</v>
      </c>
      <c r="B14" s="10">
        <f t="shared" si="0"/>
        <v>40</v>
      </c>
      <c r="C14" s="11">
        <f>C13</f>
        <v>0.01</v>
      </c>
      <c r="D14" s="11">
        <f t="shared" si="1"/>
        <v>0.05000001</v>
      </c>
      <c r="E14" s="11">
        <f t="shared" si="2"/>
        <v>0.040000009999999996</v>
      </c>
      <c r="F14" s="11">
        <v>0.0741</v>
      </c>
      <c r="G14" s="11">
        <f t="shared" si="4"/>
        <v>0.9621733854800265</v>
      </c>
      <c r="H14" s="11">
        <f t="shared" si="5"/>
        <v>0.2197676151339393</v>
      </c>
      <c r="I14" s="11">
        <f t="shared" si="6"/>
        <v>5.000001E-06</v>
      </c>
      <c r="J14" s="11">
        <f t="shared" si="7"/>
        <v>-0.0901484434441453</v>
      </c>
      <c r="K14" s="11">
        <f t="shared" si="8"/>
        <v>1.6571258171020162</v>
      </c>
      <c r="L14" s="11">
        <f t="shared" si="9"/>
        <v>4.343439517338762</v>
      </c>
      <c r="M14" s="11">
        <f t="shared" si="10"/>
        <v>6.000565334440778</v>
      </c>
      <c r="N14" s="11">
        <f t="shared" si="11"/>
        <v>5.99999880000024</v>
      </c>
      <c r="O14" s="12">
        <f t="shared" si="3"/>
        <v>1.8312242504265686</v>
      </c>
    </row>
    <row r="15" spans="1:15" ht="15.75">
      <c r="A15" s="159">
        <v>80</v>
      </c>
      <c r="B15" s="160">
        <f t="shared" si="0"/>
        <v>50</v>
      </c>
      <c r="C15" s="163">
        <f>C13</f>
        <v>0.01</v>
      </c>
      <c r="D15" s="163">
        <f t="shared" si="1"/>
        <v>0.05000001</v>
      </c>
      <c r="E15" s="163">
        <f t="shared" si="2"/>
        <v>0.040000009999999996</v>
      </c>
      <c r="F15" s="163">
        <v>0.06075</v>
      </c>
      <c r="G15" s="163">
        <f t="shared" si="4"/>
        <v>1.2578846010362754</v>
      </c>
      <c r="H15" s="163">
        <f t="shared" si="5"/>
        <v>0.22246974604061964</v>
      </c>
      <c r="I15" s="163">
        <f t="shared" si="6"/>
        <v>5.000001E-06</v>
      </c>
      <c r="J15" s="163">
        <f t="shared" si="7"/>
        <v>-0.1233944736692234</v>
      </c>
      <c r="K15" s="163">
        <f t="shared" si="8"/>
        <v>1.7254425899351022</v>
      </c>
      <c r="L15" s="163">
        <f t="shared" si="9"/>
        <v>4.274185707518475</v>
      </c>
      <c r="M15" s="163">
        <f t="shared" si="10"/>
        <v>5.999628297453578</v>
      </c>
      <c r="N15" s="163">
        <f t="shared" si="11"/>
        <v>5.99999880000024</v>
      </c>
      <c r="O15" s="164">
        <f t="shared" si="3"/>
        <v>2.224835289896634</v>
      </c>
    </row>
    <row r="16" spans="1:15" ht="15">
      <c r="A16" s="9">
        <v>60</v>
      </c>
      <c r="B16" s="10">
        <f t="shared" si="0"/>
        <v>30</v>
      </c>
      <c r="C16" s="11">
        <v>0.02001</v>
      </c>
      <c r="D16" s="11">
        <f t="shared" si="1"/>
        <v>0.05000001</v>
      </c>
      <c r="E16" s="11">
        <f t="shared" si="2"/>
        <v>0.029990009999999998</v>
      </c>
      <c r="F16" s="11">
        <v>0.1257</v>
      </c>
      <c r="G16" s="11">
        <f t="shared" si="4"/>
        <v>0.786122142413586</v>
      </c>
      <c r="H16" s="11">
        <f t="shared" si="5"/>
        <v>0.24616716406744207</v>
      </c>
      <c r="I16" s="11">
        <f t="shared" si="6"/>
        <v>5.000001E-06</v>
      </c>
      <c r="J16" s="11">
        <f t="shared" si="7"/>
        <v>-0.17776333858416304</v>
      </c>
      <c r="K16" s="11">
        <f t="shared" si="8"/>
        <v>1.2511775585037161</v>
      </c>
      <c r="L16" s="11">
        <f t="shared" si="9"/>
        <v>4.7473194199721025</v>
      </c>
      <c r="M16" s="11">
        <f t="shared" si="10"/>
        <v>5.998496978475819</v>
      </c>
      <c r="N16" s="11">
        <f t="shared" si="11"/>
        <v>5.99999880000024</v>
      </c>
      <c r="O16" s="12">
        <f t="shared" si="3"/>
        <v>1.6415256351766414</v>
      </c>
    </row>
    <row r="17" spans="1:15" ht="15">
      <c r="A17" s="9">
        <v>70</v>
      </c>
      <c r="B17" s="10">
        <f t="shared" si="0"/>
        <v>40</v>
      </c>
      <c r="C17" s="11">
        <f>C16</f>
        <v>0.02001</v>
      </c>
      <c r="D17" s="11">
        <f t="shared" si="1"/>
        <v>0.05000001</v>
      </c>
      <c r="E17" s="11">
        <f t="shared" si="2"/>
        <v>0.029990009999999998</v>
      </c>
      <c r="F17" s="11">
        <v>0.1127</v>
      </c>
      <c r="G17" s="11">
        <f t="shared" si="4"/>
        <v>0.9436897490149468</v>
      </c>
      <c r="H17" s="11">
        <f t="shared" si="5"/>
        <v>0.253230714087528</v>
      </c>
      <c r="I17" s="11">
        <f t="shared" si="6"/>
        <v>5.000001E-06</v>
      </c>
      <c r="J17" s="11">
        <f t="shared" si="7"/>
        <v>-0.2517387285221466</v>
      </c>
      <c r="K17" s="11">
        <f t="shared" si="8"/>
        <v>1.2295379701443496</v>
      </c>
      <c r="L17" s="11">
        <f t="shared" si="9"/>
        <v>4.772989971130149</v>
      </c>
      <c r="M17" s="11">
        <f t="shared" si="10"/>
        <v>6.002527941274498</v>
      </c>
      <c r="N17" s="11">
        <f t="shared" si="11"/>
        <v>5.99999880000024</v>
      </c>
      <c r="O17" s="12">
        <f t="shared" si="3"/>
        <v>2.109367224651022</v>
      </c>
    </row>
    <row r="18" spans="1:15" ht="15.75">
      <c r="A18" s="13">
        <v>80</v>
      </c>
      <c r="B18" s="14">
        <f t="shared" si="0"/>
        <v>50</v>
      </c>
      <c r="C18" s="15">
        <f>C16</f>
        <v>0.02001</v>
      </c>
      <c r="D18" s="15">
        <f t="shared" si="1"/>
        <v>0.05000001</v>
      </c>
      <c r="E18" s="15">
        <f t="shared" si="2"/>
        <v>0.029990009999999998</v>
      </c>
      <c r="F18" s="15">
        <v>0.1008</v>
      </c>
      <c r="G18" s="15">
        <f t="shared" si="4"/>
        <v>1.1404767518838657</v>
      </c>
      <c r="H18" s="15">
        <f t="shared" si="5"/>
        <v>0.26307377788771796</v>
      </c>
      <c r="I18" s="15">
        <f t="shared" si="6"/>
        <v>5.000001E-06</v>
      </c>
      <c r="J18" s="15">
        <f t="shared" si="7"/>
        <v>-0.3166539512301816</v>
      </c>
      <c r="K18" s="15">
        <f t="shared" si="8"/>
        <v>1.1511059571283522</v>
      </c>
      <c r="L18" s="15">
        <f t="shared" si="9"/>
        <v>4.853386964035047</v>
      </c>
      <c r="M18" s="15">
        <f t="shared" si="10"/>
        <v>6.004492921163399</v>
      </c>
      <c r="N18" s="15">
        <f t="shared" si="11"/>
        <v>5.99999880000024</v>
      </c>
      <c r="O18" s="16">
        <f t="shared" si="3"/>
        <v>2.6287693033377364</v>
      </c>
    </row>
    <row r="19" spans="1:15" ht="15">
      <c r="A19" s="152">
        <v>60</v>
      </c>
      <c r="B19" s="153">
        <f t="shared" si="0"/>
        <v>30</v>
      </c>
      <c r="C19" s="168">
        <v>0.03</v>
      </c>
      <c r="D19" s="168">
        <f t="shared" si="1"/>
        <v>0.05000001</v>
      </c>
      <c r="E19" s="168">
        <f t="shared" si="2"/>
        <v>0.02000001</v>
      </c>
      <c r="F19" s="168">
        <v>0.1716</v>
      </c>
      <c r="G19" s="168">
        <f t="shared" si="4"/>
        <v>0.840738840692944</v>
      </c>
      <c r="H19" s="168">
        <f t="shared" si="5"/>
        <v>0.26772661275565884</v>
      </c>
      <c r="I19" s="168">
        <f t="shared" si="6"/>
        <v>5.000001E-06</v>
      </c>
      <c r="J19" s="168">
        <f t="shared" si="7"/>
        <v>-0.3188479983329693</v>
      </c>
      <c r="K19" s="168">
        <f t="shared" si="8"/>
        <v>1.0834560430710916</v>
      </c>
      <c r="L19" s="168">
        <f t="shared" si="9"/>
        <v>4.917304700706954</v>
      </c>
      <c r="M19" s="168">
        <f t="shared" si="10"/>
        <v>6.000760743778046</v>
      </c>
      <c r="N19" s="168">
        <f t="shared" si="11"/>
        <v>5.99999880000024</v>
      </c>
      <c r="O19" s="170">
        <f t="shared" si="3"/>
        <v>1.7846178122215859</v>
      </c>
    </row>
    <row r="20" spans="1:15" ht="15">
      <c r="A20" s="9">
        <v>70</v>
      </c>
      <c r="B20" s="10">
        <f t="shared" si="0"/>
        <v>40</v>
      </c>
      <c r="C20" s="11">
        <f>C19</f>
        <v>0.03</v>
      </c>
      <c r="D20" s="11">
        <f t="shared" si="1"/>
        <v>0.05000001</v>
      </c>
      <c r="E20" s="11">
        <f t="shared" si="2"/>
        <v>0.02000001</v>
      </c>
      <c r="F20" s="11">
        <v>0.1633</v>
      </c>
      <c r="G20" s="11">
        <f t="shared" si="4"/>
        <v>0.9430130530491531</v>
      </c>
      <c r="H20" s="11">
        <f t="shared" si="5"/>
        <v>0.2796176769745563</v>
      </c>
      <c r="I20" s="11">
        <f t="shared" si="6"/>
        <v>5.000001E-06</v>
      </c>
      <c r="J20" s="11">
        <f t="shared" si="7"/>
        <v>-0.44036805579784</v>
      </c>
      <c r="K20" s="11">
        <f t="shared" si="8"/>
        <v>0.9328175243314653</v>
      </c>
      <c r="L20" s="11">
        <f t="shared" si="9"/>
        <v>5.072001311599049</v>
      </c>
      <c r="M20" s="11">
        <f t="shared" si="10"/>
        <v>6.004818835930514</v>
      </c>
      <c r="N20" s="11">
        <f t="shared" si="11"/>
        <v>5.99999880000024</v>
      </c>
      <c r="O20" s="12">
        <f t="shared" si="3"/>
        <v>2.328277377007881</v>
      </c>
    </row>
    <row r="21" spans="1:15" ht="15.75">
      <c r="A21" s="159">
        <v>80</v>
      </c>
      <c r="B21" s="160">
        <f t="shared" si="0"/>
        <v>50</v>
      </c>
      <c r="C21" s="163">
        <f>C19</f>
        <v>0.03</v>
      </c>
      <c r="D21" s="163">
        <f t="shared" si="1"/>
        <v>0.05000001</v>
      </c>
      <c r="E21" s="163">
        <f t="shared" si="2"/>
        <v>0.02000001</v>
      </c>
      <c r="F21" s="163">
        <v>0.1556</v>
      </c>
      <c r="G21" s="163">
        <f t="shared" si="4"/>
        <v>1.061089365768376</v>
      </c>
      <c r="H21" s="163">
        <f t="shared" si="5"/>
        <v>0.29392289419517337</v>
      </c>
      <c r="I21" s="163">
        <f t="shared" si="6"/>
        <v>5.000001E-06</v>
      </c>
      <c r="J21" s="163">
        <f t="shared" si="7"/>
        <v>-0.5523410949728562</v>
      </c>
      <c r="K21" s="163">
        <f t="shared" si="8"/>
        <v>0.7271306674201097</v>
      </c>
      <c r="L21" s="163">
        <f t="shared" si="9"/>
        <v>5.26936089037864</v>
      </c>
      <c r="M21" s="163">
        <f t="shared" si="10"/>
        <v>5.99649155779875</v>
      </c>
      <c r="N21" s="163">
        <f t="shared" si="11"/>
        <v>5.99999880000024</v>
      </c>
      <c r="O21" s="164">
        <f t="shared" si="3"/>
        <v>2.9409486333345503</v>
      </c>
    </row>
    <row r="22" spans="1:15" ht="15">
      <c r="A22" s="9">
        <v>60</v>
      </c>
      <c r="B22" s="10">
        <f t="shared" si="0"/>
        <v>30</v>
      </c>
      <c r="C22" s="11">
        <v>0.04</v>
      </c>
      <c r="D22" s="11">
        <f t="shared" si="1"/>
        <v>0.05000001</v>
      </c>
      <c r="E22" s="11">
        <f t="shared" si="2"/>
        <v>0.010000009999999997</v>
      </c>
      <c r="F22" s="11">
        <v>0.228</v>
      </c>
      <c r="G22" s="11">
        <f t="shared" si="4"/>
        <v>0.9108816645094856</v>
      </c>
      <c r="H22" s="11">
        <f t="shared" si="5"/>
        <v>0.2834859815743697</v>
      </c>
      <c r="I22" s="11">
        <f t="shared" si="6"/>
        <v>5.000001E-06</v>
      </c>
      <c r="J22" s="11">
        <f t="shared" si="7"/>
        <v>-0.4716422625155041</v>
      </c>
      <c r="K22" s="11">
        <f t="shared" si="8"/>
        <v>1.0130053153984555</v>
      </c>
      <c r="L22" s="11">
        <f t="shared" si="9"/>
        <v>4.98375219518086</v>
      </c>
      <c r="M22" s="11">
        <f t="shared" si="10"/>
        <v>5.996757510579315</v>
      </c>
      <c r="N22" s="11">
        <f t="shared" si="11"/>
        <v>5.99999880000024</v>
      </c>
      <c r="O22" s="12">
        <f t="shared" si="3"/>
        <v>1.890928429733912</v>
      </c>
    </row>
    <row r="23" spans="1:15" ht="15">
      <c r="A23" s="9">
        <v>70</v>
      </c>
      <c r="B23" s="10">
        <f t="shared" si="0"/>
        <v>40</v>
      </c>
      <c r="C23" s="11">
        <f>C22</f>
        <v>0.04</v>
      </c>
      <c r="D23" s="11">
        <f t="shared" si="1"/>
        <v>0.05000001</v>
      </c>
      <c r="E23" s="11">
        <f t="shared" si="2"/>
        <v>0.010000009999999997</v>
      </c>
      <c r="F23" s="11">
        <v>0.22735</v>
      </c>
      <c r="G23" s="11">
        <f t="shared" si="4"/>
        <v>0.961169046839875</v>
      </c>
      <c r="H23" s="11">
        <f t="shared" si="5"/>
        <v>0.2979060981895116</v>
      </c>
      <c r="I23" s="11">
        <f t="shared" si="6"/>
        <v>5.000001E-06</v>
      </c>
      <c r="J23" s="11">
        <f t="shared" si="7"/>
        <v>-0.6558747726942369</v>
      </c>
      <c r="K23" s="11">
        <f t="shared" si="8"/>
        <v>0.7646348032136975</v>
      </c>
      <c r="L23" s="11">
        <f t="shared" si="9"/>
        <v>5.2328955195255515</v>
      </c>
      <c r="M23" s="11">
        <f t="shared" si="10"/>
        <v>5.997530322739249</v>
      </c>
      <c r="N23" s="11">
        <f t="shared" si="11"/>
        <v>5.99999880000024</v>
      </c>
      <c r="O23" s="12">
        <f t="shared" si="3"/>
        <v>2.483573088909779</v>
      </c>
    </row>
    <row r="24" spans="1:15" ht="15.75">
      <c r="A24" s="13">
        <v>80</v>
      </c>
      <c r="B24" s="14">
        <f t="shared" si="0"/>
        <v>50</v>
      </c>
      <c r="C24" s="15">
        <f>C22</f>
        <v>0.04</v>
      </c>
      <c r="D24" s="15">
        <f t="shared" si="1"/>
        <v>0.05000001</v>
      </c>
      <c r="E24" s="15">
        <f t="shared" si="2"/>
        <v>0.010000009999999997</v>
      </c>
      <c r="F24" s="15">
        <v>0.2276</v>
      </c>
      <c r="G24" s="15">
        <f t="shared" si="4"/>
        <v>1.0150676750946934</v>
      </c>
      <c r="H24" s="15">
        <f t="shared" si="5"/>
        <v>0.3151108933997446</v>
      </c>
      <c r="I24" s="15">
        <f t="shared" si="6"/>
        <v>5.000001E-06</v>
      </c>
      <c r="J24" s="15">
        <f t="shared" si="7"/>
        <v>-0.8336336718647817</v>
      </c>
      <c r="K24" s="15">
        <f t="shared" si="8"/>
        <v>0.4639216598990287</v>
      </c>
      <c r="L24" s="15">
        <f t="shared" si="9"/>
        <v>5.536883984603545</v>
      </c>
      <c r="M24" s="15">
        <f t="shared" si="10"/>
        <v>6.000805644502574</v>
      </c>
      <c r="N24" s="15">
        <f t="shared" si="11"/>
        <v>5.99999880000024</v>
      </c>
      <c r="O24" s="16">
        <f t="shared" si="3"/>
        <v>3.1506858785378826</v>
      </c>
    </row>
    <row r="25" spans="1:15" ht="15">
      <c r="A25" s="152">
        <v>60</v>
      </c>
      <c r="B25" s="153">
        <f t="shared" si="0"/>
        <v>30</v>
      </c>
      <c r="C25" s="168">
        <v>0.05</v>
      </c>
      <c r="D25" s="168">
        <f t="shared" si="1"/>
        <v>0.05000001</v>
      </c>
      <c r="E25" s="168">
        <f t="shared" si="2"/>
        <v>9.999999994736442E-09</v>
      </c>
      <c r="F25" s="168">
        <v>0.2956</v>
      </c>
      <c r="G25" s="168">
        <f t="shared" si="4"/>
        <v>0.9999999000799278</v>
      </c>
      <c r="H25" s="168">
        <f t="shared" si="5"/>
        <v>0.2937536448759494</v>
      </c>
      <c r="I25" s="168">
        <f t="shared" si="6"/>
        <v>5.000001E-06</v>
      </c>
      <c r="J25" s="168">
        <f t="shared" si="7"/>
        <v>-0.6291900271962398</v>
      </c>
      <c r="K25" s="168">
        <f t="shared" si="8"/>
        <v>1.0404523212897574</v>
      </c>
      <c r="L25" s="168">
        <f t="shared" si="9"/>
        <v>4.960550401623325</v>
      </c>
      <c r="M25" s="168">
        <f t="shared" si="10"/>
        <v>6.001002722913083</v>
      </c>
      <c r="N25" s="168">
        <f t="shared" si="11"/>
        <v>5.99999880000024</v>
      </c>
      <c r="O25" s="170">
        <f t="shared" si="3"/>
        <v>1.9580304055143092</v>
      </c>
    </row>
    <row r="26" spans="1:15" ht="15">
      <c r="A26" s="9">
        <v>70</v>
      </c>
      <c r="B26" s="10">
        <f t="shared" si="0"/>
        <v>40</v>
      </c>
      <c r="C26" s="11">
        <f>C25</f>
        <v>0.05</v>
      </c>
      <c r="D26" s="11">
        <f t="shared" si="1"/>
        <v>0.05000001</v>
      </c>
      <c r="E26" s="11">
        <f t="shared" si="2"/>
        <v>9.999999994736442E-09</v>
      </c>
      <c r="F26" s="11">
        <v>0.3058</v>
      </c>
      <c r="G26" s="11">
        <f t="shared" si="4"/>
        <v>0.9999999500399639</v>
      </c>
      <c r="H26" s="11">
        <f t="shared" si="5"/>
        <v>0.3083550587900581</v>
      </c>
      <c r="I26" s="11">
        <f t="shared" si="6"/>
        <v>5.000001E-06</v>
      </c>
      <c r="J26" s="11">
        <f t="shared" si="7"/>
        <v>-0.8905509598460353</v>
      </c>
      <c r="K26" s="11">
        <f t="shared" si="8"/>
        <v>0.7354199766508727</v>
      </c>
      <c r="L26" s="11">
        <f t="shared" si="9"/>
        <v>5.265673125125671</v>
      </c>
      <c r="M26" s="11">
        <f t="shared" si="10"/>
        <v>6.001093101776544</v>
      </c>
      <c r="N26" s="11">
        <f t="shared" si="11"/>
        <v>5.99999880000024</v>
      </c>
      <c r="O26" s="12">
        <f t="shared" si="3"/>
        <v>2.56915743149172</v>
      </c>
    </row>
    <row r="27" spans="1:15" ht="16.5" thickBot="1">
      <c r="A27" s="17">
        <v>80</v>
      </c>
      <c r="B27" s="18">
        <f t="shared" si="0"/>
        <v>50</v>
      </c>
      <c r="C27" s="19">
        <f>C25</f>
        <v>0.05</v>
      </c>
      <c r="D27" s="19">
        <f t="shared" si="1"/>
        <v>0.05000001</v>
      </c>
      <c r="E27" s="19">
        <f t="shared" si="2"/>
        <v>9.999999994736442E-09</v>
      </c>
      <c r="F27" s="19">
        <v>0.317</v>
      </c>
      <c r="G27" s="19">
        <f t="shared" si="4"/>
        <v>1</v>
      </c>
      <c r="H27" s="19">
        <f t="shared" si="5"/>
        <v>0.3248903330411204</v>
      </c>
      <c r="I27" s="19">
        <f t="shared" si="6"/>
        <v>5.000001E-06</v>
      </c>
      <c r="J27" s="19">
        <f t="shared" si="7"/>
        <v>-1.1561767603370923</v>
      </c>
      <c r="K27" s="19">
        <f t="shared" si="8"/>
        <v>0.3825769012071449</v>
      </c>
      <c r="L27" s="19">
        <f t="shared" si="9"/>
        <v>5.615780320583758</v>
      </c>
      <c r="M27" s="19">
        <f t="shared" si="10"/>
        <v>5.9983572217909025</v>
      </c>
      <c r="N27" s="19">
        <f t="shared" si="11"/>
        <v>5.99999880000024</v>
      </c>
      <c r="O27" s="20">
        <f t="shared" si="3"/>
        <v>3.2497931119626053</v>
      </c>
    </row>
    <row r="28" ht="13.5" thickTop="1"/>
  </sheetData>
  <mergeCells count="1">
    <mergeCell ref="A3:O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O27"/>
    </sheetView>
  </sheetViews>
  <sheetFormatPr defaultColWidth="11.421875" defaultRowHeight="12.75"/>
  <cols>
    <col min="1" max="15" width="9.00390625" style="0" customWidth="1"/>
  </cols>
  <sheetData>
    <row r="1" ht="12.75">
      <c r="A1" s="1"/>
    </row>
    <row r="2" ht="13.5" thickBot="1"/>
    <row r="3" spans="1:15" ht="60" customHeight="1" thickTop="1">
      <c r="A3" s="98" t="s">
        <v>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91"/>
      <c r="O3" s="99"/>
    </row>
    <row r="4" spans="1:15" ht="19.5" customHeight="1">
      <c r="A4" s="73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4"/>
      <c r="N4" s="4"/>
      <c r="O4" s="5"/>
    </row>
    <row r="5" spans="1:15" ht="15">
      <c r="A5" s="6" t="s">
        <v>15</v>
      </c>
      <c r="B5" s="7" t="s">
        <v>16</v>
      </c>
      <c r="C5" s="23" t="s">
        <v>47</v>
      </c>
      <c r="D5" s="23" t="s">
        <v>48</v>
      </c>
      <c r="E5" s="7" t="s">
        <v>27</v>
      </c>
      <c r="F5" s="4"/>
      <c r="G5" s="4"/>
      <c r="H5" s="3"/>
      <c r="I5" s="3"/>
      <c r="J5" s="3"/>
      <c r="K5" s="3"/>
      <c r="L5" s="3"/>
      <c r="M5" s="4"/>
      <c r="N5" s="4"/>
      <c r="O5" s="5"/>
    </row>
    <row r="6" spans="1:15" ht="15">
      <c r="A6" s="6">
        <v>20</v>
      </c>
      <c r="B6" s="7">
        <v>30</v>
      </c>
      <c r="C6" s="11">
        <v>0.02</v>
      </c>
      <c r="D6" s="7">
        <v>5</v>
      </c>
      <c r="E6" s="24">
        <v>0.05000001</v>
      </c>
      <c r="F6" s="4"/>
      <c r="G6" s="4"/>
      <c r="H6" s="7"/>
      <c r="I6" s="7"/>
      <c r="J6" s="7"/>
      <c r="K6" s="7"/>
      <c r="L6" s="7"/>
      <c r="M6" s="4"/>
      <c r="N6" s="4"/>
      <c r="O6" s="5"/>
    </row>
    <row r="7" spans="1:15" ht="15">
      <c r="A7" s="6" t="s">
        <v>33</v>
      </c>
      <c r="B7" s="23" t="s">
        <v>18</v>
      </c>
      <c r="C7" s="23" t="s">
        <v>28</v>
      </c>
      <c r="D7" s="23" t="s">
        <v>29</v>
      </c>
      <c r="E7" s="23"/>
      <c r="F7" s="23"/>
      <c r="G7" s="4"/>
      <c r="H7" s="4"/>
      <c r="I7" s="23"/>
      <c r="J7" s="23"/>
      <c r="K7" s="23"/>
      <c r="L7" s="23"/>
      <c r="M7" s="4"/>
      <c r="N7" s="4"/>
      <c r="O7" s="5"/>
    </row>
    <row r="8" spans="1:15" ht="15">
      <c r="A8" s="6">
        <v>60</v>
      </c>
      <c r="B8" s="11">
        <v>0.3</v>
      </c>
      <c r="C8" s="11">
        <f>1-B8</f>
        <v>0.7</v>
      </c>
      <c r="D8" s="11">
        <v>1</v>
      </c>
      <c r="E8" s="4"/>
      <c r="F8" s="11"/>
      <c r="G8" s="4"/>
      <c r="H8" s="4"/>
      <c r="I8" s="11"/>
      <c r="J8" s="11"/>
      <c r="K8" s="11"/>
      <c r="L8" s="11"/>
      <c r="M8" s="4"/>
      <c r="N8" s="4"/>
      <c r="O8" s="5"/>
    </row>
    <row r="9" spans="1:15" ht="19.5">
      <c r="A9" s="6" t="s">
        <v>20</v>
      </c>
      <c r="B9" s="7" t="s">
        <v>21</v>
      </c>
      <c r="C9" s="7" t="s">
        <v>22</v>
      </c>
      <c r="D9" s="7" t="s">
        <v>19</v>
      </c>
      <c r="E9" s="7" t="s">
        <v>25</v>
      </c>
      <c r="F9" s="23" t="s">
        <v>52</v>
      </c>
      <c r="G9" s="7" t="s">
        <v>26</v>
      </c>
      <c r="H9" s="7" t="s">
        <v>36</v>
      </c>
      <c r="I9" s="7" t="s">
        <v>53</v>
      </c>
      <c r="J9" s="7" t="s">
        <v>54</v>
      </c>
      <c r="K9" s="23" t="s">
        <v>4</v>
      </c>
      <c r="L9" s="23" t="s">
        <v>11</v>
      </c>
      <c r="M9" s="23" t="s">
        <v>17</v>
      </c>
      <c r="N9" s="23" t="s">
        <v>13</v>
      </c>
      <c r="O9" s="88" t="s">
        <v>24</v>
      </c>
    </row>
    <row r="10" spans="1:15" ht="15">
      <c r="A10" s="144">
        <v>60</v>
      </c>
      <c r="B10" s="145">
        <f aca="true" t="shared" si="0" ref="B10:B27">A10-B$6</f>
        <v>30</v>
      </c>
      <c r="C10" s="166">
        <v>0</v>
      </c>
      <c r="D10" s="166">
        <f aca="true" t="shared" si="1" ref="D10:D27">E$6</f>
        <v>0.05000001</v>
      </c>
      <c r="E10" s="166">
        <f aca="true" t="shared" si="2" ref="E10:E27">D10-C10</f>
        <v>0.05000001</v>
      </c>
      <c r="F10" s="166">
        <v>0.05635</v>
      </c>
      <c r="G10" s="166">
        <f aca="true" t="shared" si="3" ref="G10:G27">(EXP($E10*($B10-$A$6))-EXP(-$E10*($A$8-$B10))+D$8*(EXP(-$E10*($A$8-$B10))-EXP(-$E10*$B$6)))/($E10*($A10-$A$6))</f>
        <v>0.7127955286223302</v>
      </c>
      <c r="H10" s="166">
        <f aca="true" t="shared" si="4" ref="H10:H27">F10*EXP($E10*$B$6)*G10*$C$8/(1-F10*EXP($E10*$B$6))</f>
        <v>0.16858258731878742</v>
      </c>
      <c r="I10" s="166">
        <f aca="true" t="shared" si="5" ref="I10:I27">(D10-C$6)/D$6</f>
        <v>0.006000001999999999</v>
      </c>
      <c r="J10" s="166">
        <f aca="true" t="shared" si="6" ref="J10:J27">1-(1-F10)*((D10-I10)*(1-EXP(-E10*(A10-A$6))))/(E10*(1-EXP(-(D10-I10)*(A10-A$6))))</f>
        <v>0.13276950699752754</v>
      </c>
      <c r="K10" s="166">
        <f aca="true" t="shared" si="7" ref="K10:K27">(C$8/(A10-A$6))*((EXP(E10*(A10-A$6))-1-E10*(A10-A$6))/(E10^2)-(1-J10)*((EXP(E10*(A10-A$6))-1)/E10-(1-EXP(-(C10-I10)*(A10-A$6)))/(C10-I10))/(D10-I10))</f>
        <v>2.2422368000569035</v>
      </c>
      <c r="L10" s="166">
        <f aca="true" t="shared" si="8" ref="L10:L27">H10*(((EXP(E10*B$6)-1)/E10)-((1-F10)/(1-EXP(-(D10-I10)*B$6))*(((EXP(E10*B$6)-1)/E10)-(1-EXP(-(C10-I10)*B$6))/(C10-I10))))</f>
        <v>3.7586329674555183</v>
      </c>
      <c r="M10" s="166">
        <f aca="true" t="shared" si="9" ref="M10:M27">K10+L10</f>
        <v>6.000869767512421</v>
      </c>
      <c r="N10" s="166">
        <f aca="true" t="shared" si="10" ref="N10:N27">B$8/D10</f>
        <v>5.99999880000024</v>
      </c>
      <c r="O10" s="150">
        <f aca="true" t="shared" si="11" ref="O10:O27">H10/(M10/(A10-A$6))</f>
        <v>1.1237210194526253</v>
      </c>
    </row>
    <row r="11" spans="1:15" ht="15">
      <c r="A11" s="9">
        <v>70</v>
      </c>
      <c r="B11" s="10">
        <f t="shared" si="0"/>
        <v>40</v>
      </c>
      <c r="C11" s="11">
        <f>C10</f>
        <v>0</v>
      </c>
      <c r="D11" s="11">
        <f t="shared" si="1"/>
        <v>0.05000001</v>
      </c>
      <c r="E11" s="11">
        <f t="shared" si="2"/>
        <v>0.05000001</v>
      </c>
      <c r="F11" s="11">
        <v>0.0399</v>
      </c>
      <c r="G11" s="11">
        <f t="shared" si="3"/>
        <v>0.9980607119502869</v>
      </c>
      <c r="H11" s="11">
        <f t="shared" si="4"/>
        <v>0.15213568468207644</v>
      </c>
      <c r="I11" s="11">
        <f t="shared" si="5"/>
        <v>0.006000001999999999</v>
      </c>
      <c r="J11" s="11">
        <f t="shared" si="6"/>
        <v>0.1278248917595226</v>
      </c>
      <c r="K11" s="11">
        <f t="shared" si="7"/>
        <v>2.7383975355096597</v>
      </c>
      <c r="L11" s="11">
        <f t="shared" si="8"/>
        <v>3.266396279322408</v>
      </c>
      <c r="M11" s="11">
        <f t="shared" si="9"/>
        <v>6.004793814832068</v>
      </c>
      <c r="N11" s="11">
        <f t="shared" si="10"/>
        <v>5.99999880000024</v>
      </c>
      <c r="O11" s="12">
        <f t="shared" si="11"/>
        <v>1.26678525003053</v>
      </c>
    </row>
    <row r="12" spans="1:15" ht="15.75">
      <c r="A12" s="13">
        <v>80</v>
      </c>
      <c r="B12" s="14">
        <f t="shared" si="0"/>
        <v>50</v>
      </c>
      <c r="C12" s="15">
        <f>C10</f>
        <v>0</v>
      </c>
      <c r="D12" s="15">
        <f t="shared" si="1"/>
        <v>0.05000001</v>
      </c>
      <c r="E12" s="15">
        <f t="shared" si="2"/>
        <v>0.05000001</v>
      </c>
      <c r="F12" s="15">
        <v>0.0269</v>
      </c>
      <c r="G12" s="15">
        <f t="shared" si="3"/>
        <v>1.4195198233079005</v>
      </c>
      <c r="H12" s="15">
        <f t="shared" si="4"/>
        <v>0.13621538794442387</v>
      </c>
      <c r="I12" s="15">
        <f t="shared" si="5"/>
        <v>0.006000001999999999</v>
      </c>
      <c r="J12" s="15">
        <f t="shared" si="6"/>
        <v>0.1237777475613332</v>
      </c>
      <c r="K12" s="15">
        <f t="shared" si="7"/>
        <v>3.1617064627326843</v>
      </c>
      <c r="L12" s="15">
        <f t="shared" si="8"/>
        <v>2.835750636851756</v>
      </c>
      <c r="M12" s="15">
        <f t="shared" si="9"/>
        <v>5.997457099584441</v>
      </c>
      <c r="N12" s="15">
        <f t="shared" si="10"/>
        <v>5.99999880000024</v>
      </c>
      <c r="O12" s="16">
        <f t="shared" si="11"/>
        <v>1.362731427829926</v>
      </c>
    </row>
    <row r="13" spans="1:15" ht="15">
      <c r="A13" s="152">
        <v>60</v>
      </c>
      <c r="B13" s="153">
        <f t="shared" si="0"/>
        <v>30</v>
      </c>
      <c r="C13" s="168">
        <v>0.01</v>
      </c>
      <c r="D13" s="168">
        <f t="shared" si="1"/>
        <v>0.05000001</v>
      </c>
      <c r="E13" s="168">
        <f t="shared" si="2"/>
        <v>0.040000009999999996</v>
      </c>
      <c r="F13" s="168">
        <v>0.0836</v>
      </c>
      <c r="G13" s="168">
        <f t="shared" si="3"/>
        <v>0.7441440172576179</v>
      </c>
      <c r="H13" s="168">
        <f t="shared" si="4"/>
        <v>0.2001309023374435</v>
      </c>
      <c r="I13" s="168">
        <f t="shared" si="5"/>
        <v>0.006000001999999999</v>
      </c>
      <c r="J13" s="168">
        <f t="shared" si="6"/>
        <v>0.028304588128171604</v>
      </c>
      <c r="K13" s="168">
        <f t="shared" si="7"/>
        <v>1.8285927910857973</v>
      </c>
      <c r="L13" s="168">
        <f t="shared" si="8"/>
        <v>4.167463296375096</v>
      </c>
      <c r="M13" s="168">
        <f t="shared" si="9"/>
        <v>5.996056087460893</v>
      </c>
      <c r="N13" s="168">
        <f t="shared" si="10"/>
        <v>5.99999880000024</v>
      </c>
      <c r="O13" s="170">
        <f t="shared" si="11"/>
        <v>1.3350835910688854</v>
      </c>
    </row>
    <row r="14" spans="1:15" ht="15">
      <c r="A14" s="9">
        <v>70</v>
      </c>
      <c r="B14" s="10">
        <f t="shared" si="0"/>
        <v>40</v>
      </c>
      <c r="C14" s="11">
        <f>C13</f>
        <v>0.01</v>
      </c>
      <c r="D14" s="11">
        <f t="shared" si="1"/>
        <v>0.05000001</v>
      </c>
      <c r="E14" s="11">
        <f t="shared" si="2"/>
        <v>0.040000009999999996</v>
      </c>
      <c r="F14" s="11">
        <v>0.06735</v>
      </c>
      <c r="G14" s="11">
        <f t="shared" si="3"/>
        <v>0.9621733854800265</v>
      </c>
      <c r="H14" s="11">
        <f t="shared" si="4"/>
        <v>0.1939824869533446</v>
      </c>
      <c r="I14" s="11">
        <f t="shared" si="5"/>
        <v>0.006000001999999999</v>
      </c>
      <c r="J14" s="11">
        <f t="shared" si="6"/>
        <v>0.0023890930739074445</v>
      </c>
      <c r="K14" s="11">
        <f t="shared" si="7"/>
        <v>2.0883176601920947</v>
      </c>
      <c r="L14" s="11">
        <f t="shared" si="8"/>
        <v>3.9115421486639597</v>
      </c>
      <c r="M14" s="11">
        <f t="shared" si="9"/>
        <v>5.999859808856055</v>
      </c>
      <c r="N14" s="11">
        <f t="shared" si="10"/>
        <v>5.99999880000024</v>
      </c>
      <c r="O14" s="12">
        <f t="shared" si="11"/>
        <v>1.6165584958086687</v>
      </c>
    </row>
    <row r="15" spans="1:15" ht="15.75">
      <c r="A15" s="159">
        <v>80</v>
      </c>
      <c r="B15" s="160">
        <f t="shared" si="0"/>
        <v>50</v>
      </c>
      <c r="C15" s="163">
        <f>C13</f>
        <v>0.01</v>
      </c>
      <c r="D15" s="163">
        <f t="shared" si="1"/>
        <v>0.05000001</v>
      </c>
      <c r="E15" s="163">
        <f t="shared" si="2"/>
        <v>0.040000009999999996</v>
      </c>
      <c r="F15" s="163">
        <v>0.0535</v>
      </c>
      <c r="G15" s="163">
        <f t="shared" si="3"/>
        <v>1.2578846010362754</v>
      </c>
      <c r="H15" s="163">
        <f t="shared" si="4"/>
        <v>0.190185289877974</v>
      </c>
      <c r="I15" s="163">
        <f t="shared" si="5"/>
        <v>0.006000001999999999</v>
      </c>
      <c r="J15" s="163">
        <f t="shared" si="6"/>
        <v>-0.019448068554988485</v>
      </c>
      <c r="K15" s="163">
        <f t="shared" si="7"/>
        <v>2.271050488968544</v>
      </c>
      <c r="L15" s="163">
        <f t="shared" si="8"/>
        <v>3.7281072644010096</v>
      </c>
      <c r="M15" s="163">
        <f t="shared" si="9"/>
        <v>5.999157753369554</v>
      </c>
      <c r="N15" s="163">
        <f t="shared" si="10"/>
        <v>5.99999880000024</v>
      </c>
      <c r="O15" s="164">
        <f t="shared" si="11"/>
        <v>1.9021199077935806</v>
      </c>
    </row>
    <row r="16" spans="1:15" ht="15">
      <c r="A16" s="9">
        <v>60</v>
      </c>
      <c r="B16" s="10">
        <f t="shared" si="0"/>
        <v>30</v>
      </c>
      <c r="C16" s="11">
        <v>0.02001</v>
      </c>
      <c r="D16" s="11">
        <f t="shared" si="1"/>
        <v>0.05000001</v>
      </c>
      <c r="E16" s="11">
        <f t="shared" si="2"/>
        <v>0.029990009999999998</v>
      </c>
      <c r="F16" s="11">
        <v>0.1192</v>
      </c>
      <c r="G16" s="11">
        <f t="shared" si="3"/>
        <v>0.786122142413586</v>
      </c>
      <c r="H16" s="11">
        <f t="shared" si="4"/>
        <v>0.22815987748849695</v>
      </c>
      <c r="I16" s="11">
        <f t="shared" si="5"/>
        <v>0.006000001999999999</v>
      </c>
      <c r="J16" s="11">
        <f t="shared" si="6"/>
        <v>-0.09050657836683262</v>
      </c>
      <c r="K16" s="11">
        <f t="shared" si="7"/>
        <v>1.5231771782988106</v>
      </c>
      <c r="L16" s="11">
        <f t="shared" si="8"/>
        <v>4.476035504049522</v>
      </c>
      <c r="M16" s="11">
        <f t="shared" si="9"/>
        <v>5.9992126823483325</v>
      </c>
      <c r="N16" s="11">
        <f t="shared" si="10"/>
        <v>5.99999880000024</v>
      </c>
      <c r="O16" s="12">
        <f t="shared" si="11"/>
        <v>1.5212654697828516</v>
      </c>
    </row>
    <row r="17" spans="1:15" ht="15">
      <c r="A17" s="9">
        <v>70</v>
      </c>
      <c r="B17" s="10">
        <f t="shared" si="0"/>
        <v>40</v>
      </c>
      <c r="C17" s="11">
        <f>C16</f>
        <v>0.02001</v>
      </c>
      <c r="D17" s="11">
        <f t="shared" si="1"/>
        <v>0.05000001</v>
      </c>
      <c r="E17" s="11">
        <f t="shared" si="2"/>
        <v>0.029990009999999998</v>
      </c>
      <c r="F17" s="11">
        <v>0.105</v>
      </c>
      <c r="G17" s="11">
        <f t="shared" si="3"/>
        <v>0.9436897490149468</v>
      </c>
      <c r="H17" s="11">
        <f t="shared" si="4"/>
        <v>0.22990767178235944</v>
      </c>
      <c r="I17" s="11">
        <f t="shared" si="5"/>
        <v>0.006000001999999999</v>
      </c>
      <c r="J17" s="11">
        <f t="shared" si="6"/>
        <v>-0.14706276525485418</v>
      </c>
      <c r="K17" s="11">
        <f t="shared" si="7"/>
        <v>1.5962160930721592</v>
      </c>
      <c r="L17" s="11">
        <f t="shared" si="8"/>
        <v>4.4027346625191734</v>
      </c>
      <c r="M17" s="11">
        <f t="shared" si="9"/>
        <v>5.998950755591332</v>
      </c>
      <c r="N17" s="11">
        <f t="shared" si="10"/>
        <v>5.99999880000024</v>
      </c>
      <c r="O17" s="12">
        <f t="shared" si="11"/>
        <v>1.9162323642019696</v>
      </c>
    </row>
    <row r="18" spans="1:15" ht="15.75">
      <c r="A18" s="13">
        <v>80</v>
      </c>
      <c r="B18" s="14">
        <f t="shared" si="0"/>
        <v>50</v>
      </c>
      <c r="C18" s="15">
        <f>C16</f>
        <v>0.02001</v>
      </c>
      <c r="D18" s="15">
        <f t="shared" si="1"/>
        <v>0.05000001</v>
      </c>
      <c r="E18" s="15">
        <f t="shared" si="2"/>
        <v>0.029990009999999998</v>
      </c>
      <c r="F18" s="15">
        <v>0.0924</v>
      </c>
      <c r="G18" s="15">
        <f t="shared" si="3"/>
        <v>1.1404767518838657</v>
      </c>
      <c r="H18" s="15">
        <f t="shared" si="4"/>
        <v>0.2347057747077849</v>
      </c>
      <c r="I18" s="15">
        <f t="shared" si="5"/>
        <v>0.006000001999999999</v>
      </c>
      <c r="J18" s="15">
        <f t="shared" si="6"/>
        <v>-0.19674947457349368</v>
      </c>
      <c r="K18" s="15">
        <f t="shared" si="7"/>
        <v>1.600015286355486</v>
      </c>
      <c r="L18" s="15">
        <f t="shared" si="8"/>
        <v>4.397159713771841</v>
      </c>
      <c r="M18" s="15">
        <f t="shared" si="9"/>
        <v>5.997175000127327</v>
      </c>
      <c r="N18" s="15">
        <f t="shared" si="10"/>
        <v>5.99999880000024</v>
      </c>
      <c r="O18" s="16">
        <f t="shared" si="11"/>
        <v>2.3481633406008844</v>
      </c>
    </row>
    <row r="19" spans="1:15" ht="15">
      <c r="A19" s="152">
        <v>60</v>
      </c>
      <c r="B19" s="153">
        <f t="shared" si="0"/>
        <v>30</v>
      </c>
      <c r="C19" s="168">
        <v>0.03</v>
      </c>
      <c r="D19" s="168">
        <f t="shared" si="1"/>
        <v>0.05000001</v>
      </c>
      <c r="E19" s="168">
        <f t="shared" si="2"/>
        <v>0.02000001</v>
      </c>
      <c r="F19" s="168">
        <v>0.1643</v>
      </c>
      <c r="G19" s="168">
        <f t="shared" si="3"/>
        <v>0.840738840692944</v>
      </c>
      <c r="H19" s="168">
        <f t="shared" si="4"/>
        <v>0.25147071348306477</v>
      </c>
      <c r="I19" s="168">
        <f t="shared" si="5"/>
        <v>0.006000001999999999</v>
      </c>
      <c r="J19" s="168">
        <f t="shared" si="6"/>
        <v>-0.22280860768918265</v>
      </c>
      <c r="K19" s="168">
        <f t="shared" si="7"/>
        <v>1.3209438364120958</v>
      </c>
      <c r="L19" s="168">
        <f t="shared" si="8"/>
        <v>4.681915600113008</v>
      </c>
      <c r="M19" s="168">
        <f t="shared" si="9"/>
        <v>6.002859436525104</v>
      </c>
      <c r="N19" s="168">
        <f t="shared" si="10"/>
        <v>5.99999880000024</v>
      </c>
      <c r="O19" s="170">
        <f t="shared" si="11"/>
        <v>1.6756728431984373</v>
      </c>
    </row>
    <row r="20" spans="1:15" ht="15">
      <c r="A20" s="9">
        <v>70</v>
      </c>
      <c r="B20" s="10">
        <f t="shared" si="0"/>
        <v>40</v>
      </c>
      <c r="C20" s="11">
        <f>C19</f>
        <v>0.03</v>
      </c>
      <c r="D20" s="11">
        <f t="shared" si="1"/>
        <v>0.05000001</v>
      </c>
      <c r="E20" s="11">
        <f t="shared" si="2"/>
        <v>0.02000001</v>
      </c>
      <c r="F20" s="11">
        <v>0.1546</v>
      </c>
      <c r="G20" s="11">
        <f t="shared" si="3"/>
        <v>0.9430130530491531</v>
      </c>
      <c r="H20" s="11">
        <f t="shared" si="4"/>
        <v>0.25887849540618507</v>
      </c>
      <c r="I20" s="11">
        <f t="shared" si="5"/>
        <v>0.006000001999999999</v>
      </c>
      <c r="J20" s="11">
        <f t="shared" si="6"/>
        <v>-0.32216876998584953</v>
      </c>
      <c r="K20" s="11">
        <f t="shared" si="7"/>
        <v>1.2458524949872993</v>
      </c>
      <c r="L20" s="11">
        <f t="shared" si="8"/>
        <v>4.752263032992354</v>
      </c>
      <c r="M20" s="11">
        <f t="shared" si="9"/>
        <v>5.998115527979653</v>
      </c>
      <c r="N20" s="11">
        <f t="shared" si="10"/>
        <v>5.99999880000024</v>
      </c>
      <c r="O20" s="12">
        <f t="shared" si="11"/>
        <v>2.1579985763743963</v>
      </c>
    </row>
    <row r="21" spans="1:15" ht="15.75">
      <c r="A21" s="159">
        <v>80</v>
      </c>
      <c r="B21" s="160">
        <f t="shared" si="0"/>
        <v>50</v>
      </c>
      <c r="C21" s="163">
        <f>C19</f>
        <v>0.03</v>
      </c>
      <c r="D21" s="163">
        <f t="shared" si="1"/>
        <v>0.05000001</v>
      </c>
      <c r="E21" s="163">
        <f t="shared" si="2"/>
        <v>0.02000001</v>
      </c>
      <c r="F21" s="163">
        <v>0.1462</v>
      </c>
      <c r="G21" s="163">
        <f t="shared" si="3"/>
        <v>1.061089365768376</v>
      </c>
      <c r="H21" s="163">
        <f t="shared" si="4"/>
        <v>0.2697188068225979</v>
      </c>
      <c r="I21" s="163">
        <f t="shared" si="5"/>
        <v>0.006000001999999999</v>
      </c>
      <c r="J21" s="163">
        <f t="shared" si="6"/>
        <v>-0.4134761672837184</v>
      </c>
      <c r="K21" s="163">
        <f t="shared" si="7"/>
        <v>1.108963158180846</v>
      </c>
      <c r="L21" s="163">
        <f t="shared" si="8"/>
        <v>4.890293960291448</v>
      </c>
      <c r="M21" s="163">
        <f t="shared" si="9"/>
        <v>5.999257118472293</v>
      </c>
      <c r="N21" s="163">
        <f t="shared" si="10"/>
        <v>5.99999880000024</v>
      </c>
      <c r="O21" s="164">
        <f t="shared" si="11"/>
        <v>2.6975220581105708</v>
      </c>
    </row>
    <row r="22" spans="1:15" ht="15">
      <c r="A22" s="9">
        <v>60</v>
      </c>
      <c r="B22" s="10">
        <f t="shared" si="0"/>
        <v>30</v>
      </c>
      <c r="C22" s="11">
        <v>0.04</v>
      </c>
      <c r="D22" s="11">
        <f t="shared" si="1"/>
        <v>0.05000001</v>
      </c>
      <c r="E22" s="11">
        <f t="shared" si="2"/>
        <v>0.010000009999999997</v>
      </c>
      <c r="F22" s="11">
        <v>0.2199</v>
      </c>
      <c r="G22" s="11">
        <f t="shared" si="3"/>
        <v>0.9108816645094856</v>
      </c>
      <c r="H22" s="11">
        <f t="shared" si="4"/>
        <v>0.2691633136862996</v>
      </c>
      <c r="I22" s="11">
        <f t="shared" si="5"/>
        <v>0.006000001999999999</v>
      </c>
      <c r="J22" s="11">
        <f t="shared" si="6"/>
        <v>-0.36674866906249526</v>
      </c>
      <c r="K22" s="11">
        <f t="shared" si="7"/>
        <v>1.218598791112584</v>
      </c>
      <c r="L22" s="11">
        <f t="shared" si="8"/>
        <v>4.781200040513206</v>
      </c>
      <c r="M22" s="11">
        <f t="shared" si="9"/>
        <v>5.999798831625791</v>
      </c>
      <c r="N22" s="11">
        <f t="shared" si="10"/>
        <v>5.99999880000024</v>
      </c>
      <c r="O22" s="12">
        <f t="shared" si="11"/>
        <v>1.7944822567550203</v>
      </c>
    </row>
    <row r="23" spans="1:15" ht="15">
      <c r="A23" s="9">
        <v>70</v>
      </c>
      <c r="B23" s="10">
        <f t="shared" si="0"/>
        <v>40</v>
      </c>
      <c r="C23" s="11">
        <f>C22</f>
        <v>0.04</v>
      </c>
      <c r="D23" s="11">
        <f t="shared" si="1"/>
        <v>0.05000001</v>
      </c>
      <c r="E23" s="11">
        <f t="shared" si="2"/>
        <v>0.010000009999999997</v>
      </c>
      <c r="F23" s="11">
        <v>0.2179</v>
      </c>
      <c r="G23" s="11">
        <f t="shared" si="3"/>
        <v>0.961169046839875</v>
      </c>
      <c r="H23" s="11">
        <f t="shared" si="4"/>
        <v>0.2803634894054034</v>
      </c>
      <c r="I23" s="11">
        <f t="shared" si="5"/>
        <v>0.006000001999999999</v>
      </c>
      <c r="J23" s="11">
        <f t="shared" si="6"/>
        <v>-0.5227475373831798</v>
      </c>
      <c r="K23" s="11">
        <f t="shared" si="7"/>
        <v>1.036759374814061</v>
      </c>
      <c r="L23" s="11">
        <f t="shared" si="8"/>
        <v>4.967771454727102</v>
      </c>
      <c r="M23" s="11">
        <f t="shared" si="9"/>
        <v>6.004530829541164</v>
      </c>
      <c r="N23" s="11">
        <f t="shared" si="10"/>
        <v>5.99999880000024</v>
      </c>
      <c r="O23" s="12">
        <f t="shared" si="11"/>
        <v>2.334599466340215</v>
      </c>
    </row>
    <row r="24" spans="1:15" ht="15.75">
      <c r="A24" s="13">
        <v>80</v>
      </c>
      <c r="B24" s="14">
        <f t="shared" si="0"/>
        <v>50</v>
      </c>
      <c r="C24" s="15">
        <f>C22</f>
        <v>0.04</v>
      </c>
      <c r="D24" s="15">
        <f t="shared" si="1"/>
        <v>0.05000001</v>
      </c>
      <c r="E24" s="15">
        <f t="shared" si="2"/>
        <v>0.010000009999999997</v>
      </c>
      <c r="F24" s="15">
        <v>0.2171</v>
      </c>
      <c r="G24" s="15">
        <f t="shared" si="3"/>
        <v>1.0150676750946934</v>
      </c>
      <c r="H24" s="15">
        <f t="shared" si="4"/>
        <v>0.2945475142056009</v>
      </c>
      <c r="I24" s="15">
        <f t="shared" si="5"/>
        <v>0.006000001999999999</v>
      </c>
      <c r="J24" s="15">
        <f t="shared" si="6"/>
        <v>-0.6736706997398847</v>
      </c>
      <c r="K24" s="15">
        <f t="shared" si="7"/>
        <v>0.7852512272410497</v>
      </c>
      <c r="L24" s="15">
        <f t="shared" si="8"/>
        <v>5.213896427085</v>
      </c>
      <c r="M24" s="15">
        <f t="shared" si="9"/>
        <v>5.99914765432605</v>
      </c>
      <c r="N24" s="15">
        <f t="shared" si="10"/>
        <v>5.99999880000024</v>
      </c>
      <c r="O24" s="16">
        <f t="shared" si="11"/>
        <v>2.9458936286710613</v>
      </c>
    </row>
    <row r="25" spans="1:15" ht="15">
      <c r="A25" s="152">
        <v>60</v>
      </c>
      <c r="B25" s="153">
        <f t="shared" si="0"/>
        <v>30</v>
      </c>
      <c r="C25" s="168">
        <v>0.05</v>
      </c>
      <c r="D25" s="168">
        <f t="shared" si="1"/>
        <v>0.05000001</v>
      </c>
      <c r="E25" s="168">
        <f t="shared" si="2"/>
        <v>9.999999994736442E-09</v>
      </c>
      <c r="F25" s="168">
        <v>0.2867</v>
      </c>
      <c r="G25" s="168">
        <f t="shared" si="3"/>
        <v>0.9999999000799278</v>
      </c>
      <c r="H25" s="168">
        <f t="shared" si="4"/>
        <v>0.2813543591102421</v>
      </c>
      <c r="I25" s="168">
        <f t="shared" si="5"/>
        <v>0.006000001999999999</v>
      </c>
      <c r="J25" s="168">
        <f t="shared" si="6"/>
        <v>-0.5162752650413447</v>
      </c>
      <c r="K25" s="168">
        <f t="shared" si="7"/>
        <v>1.2142005026441258</v>
      </c>
      <c r="L25" s="168">
        <f t="shared" si="8"/>
        <v>4.78647100244924</v>
      </c>
      <c r="M25" s="168">
        <f t="shared" si="9"/>
        <v>6.000671505093365</v>
      </c>
      <c r="N25" s="168">
        <f t="shared" si="10"/>
        <v>5.99999880000024</v>
      </c>
      <c r="O25" s="170">
        <f t="shared" si="11"/>
        <v>1.8754858276873099</v>
      </c>
    </row>
    <row r="26" spans="1:15" ht="15">
      <c r="A26" s="9">
        <v>70</v>
      </c>
      <c r="B26" s="10">
        <f t="shared" si="0"/>
        <v>40</v>
      </c>
      <c r="C26" s="11">
        <f>C25</f>
        <v>0.05</v>
      </c>
      <c r="D26" s="11">
        <f t="shared" si="1"/>
        <v>0.05000001</v>
      </c>
      <c r="E26" s="11">
        <f t="shared" si="2"/>
        <v>9.999999994736442E-09</v>
      </c>
      <c r="F26" s="11">
        <v>0.2954</v>
      </c>
      <c r="G26" s="11">
        <f t="shared" si="3"/>
        <v>0.9999999500399639</v>
      </c>
      <c r="H26" s="11">
        <f t="shared" si="4"/>
        <v>0.2934715834668258</v>
      </c>
      <c r="I26" s="11">
        <f t="shared" si="5"/>
        <v>0.006000001999999999</v>
      </c>
      <c r="J26" s="11">
        <f t="shared" si="6"/>
        <v>-0.7432808399950817</v>
      </c>
      <c r="K26" s="11">
        <f t="shared" si="7"/>
        <v>0.9615398703045597</v>
      </c>
      <c r="L26" s="11">
        <f t="shared" si="8"/>
        <v>5.039100935356059</v>
      </c>
      <c r="M26" s="11">
        <f t="shared" si="9"/>
        <v>6.000640805660618</v>
      </c>
      <c r="N26" s="11">
        <f t="shared" si="10"/>
        <v>5.99999880000024</v>
      </c>
      <c r="O26" s="12">
        <f t="shared" si="11"/>
        <v>2.4453353647662395</v>
      </c>
    </row>
    <row r="27" spans="1:15" ht="16.5" thickBot="1">
      <c r="A27" s="17">
        <v>80</v>
      </c>
      <c r="B27" s="18">
        <f t="shared" si="0"/>
        <v>50</v>
      </c>
      <c r="C27" s="19">
        <f>C25</f>
        <v>0.05</v>
      </c>
      <c r="D27" s="19">
        <f t="shared" si="1"/>
        <v>0.05000001</v>
      </c>
      <c r="E27" s="19">
        <f t="shared" si="2"/>
        <v>9.999999994736442E-09</v>
      </c>
      <c r="F27" s="19">
        <v>0.3056</v>
      </c>
      <c r="G27" s="19">
        <f t="shared" si="3"/>
        <v>1</v>
      </c>
      <c r="H27" s="19">
        <f t="shared" si="4"/>
        <v>0.30806464922145854</v>
      </c>
      <c r="I27" s="19">
        <f t="shared" si="5"/>
        <v>0.006000001999999999</v>
      </c>
      <c r="J27" s="19">
        <f t="shared" si="6"/>
        <v>-0.9740892294600476</v>
      </c>
      <c r="K27" s="19">
        <f t="shared" si="7"/>
        <v>0.6504210680852948</v>
      </c>
      <c r="L27" s="19">
        <f t="shared" si="8"/>
        <v>5.346887715859894</v>
      </c>
      <c r="M27" s="19">
        <f t="shared" si="9"/>
        <v>5.997308783945188</v>
      </c>
      <c r="N27" s="19">
        <f t="shared" si="10"/>
        <v>5.99999880000024</v>
      </c>
      <c r="O27" s="20">
        <f t="shared" si="11"/>
        <v>3.0820288931543605</v>
      </c>
    </row>
    <row r="28" ht="13.5" thickTop="1"/>
  </sheetData>
  <mergeCells count="1">
    <mergeCell ref="A3:O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cp:lastPrinted>2010-05-16T16:55:55Z</cp:lastPrinted>
  <dcterms:created xsi:type="dcterms:W3CDTF">2010-02-25T15:02:30Z</dcterms:created>
  <dcterms:modified xsi:type="dcterms:W3CDTF">2010-05-16T16:56:14Z</dcterms:modified>
  <cp:category/>
  <cp:version/>
  <cp:contentType/>
  <cp:contentStatus/>
</cp:coreProperties>
</file>